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Pm5i5hTgsuIHN8U8lG52HOQUhmLAGd6sXCDdwuCUrPwXE6kRaoTjwiTII+swR4I7/AqL6YSmd50TCCI9rKf8Ww==" workbookSaltValue="BljFBalvXhN+4e7OzTt07g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J70" i="83" l="1"/>
  <c r="AN70" i="83" s="1"/>
  <c r="Y52" i="83" s="1"/>
  <c r="AG190" i="83"/>
  <c r="AG302" i="83"/>
  <c r="AH161" i="83"/>
  <c r="AG214" i="83"/>
  <c r="AK161" i="83"/>
  <c r="AQ161" i="83" s="1"/>
  <c r="AK214" i="83"/>
  <c r="AO214" i="83" s="1"/>
  <c r="AK132" i="83"/>
  <c r="AQ132" i="83" s="1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Q214" i="83" l="1"/>
  <c r="AP214" i="83"/>
  <c r="AG334" i="83"/>
  <c r="AP132" i="83"/>
  <c r="AO161" i="83"/>
  <c r="AO245" i="83"/>
  <c r="AI334" i="83"/>
  <c r="AP161" i="83"/>
  <c r="AP245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P278" i="83" l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<sst xmlns="http://schemas.openxmlformats.org/spreadsheetml/2006/main" count="65795" uniqueCount="755">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</sst>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30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0.98849335617196488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3.2173724605189585E-3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8.2892713675162388E-3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7.6000000000000012E-2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6.900000000000002E-2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1.5000000000000001E-2</v>
      </c>
      <c r="AB3">
        <f>SUMIFS(PERSALDATA!$G$2:$G$20871,PERSALDATA!$A$2:$A$20871,WORKING!A3,PERSALDATA!$D$2:$D$20871,WORKING!B3,PERSALDATA!$E$2:$E$20871,WORKING!C3,PERSALDATA!$F$2:$F$20871,"S&amp;W: BASIC SALARY (RES)")</f>
        <v>28</v>
      </c>
      <c r="AC3" s="2">
        <f>SUMIFS(PERSALDATA!$H$2:$H$20871,PERSALDATA!$A$2:$A$20871,WORKING!A3,PERSALDATA!$D$2:$D$20871,WORKING!B3,PERSALDATA!$E$2:$E$20871,WORKING!C3)</f>
        <v>2133601.2800000003</v>
      </c>
    </row>
    <row r="4" spans="1:29" x14ac:dyDescent="0.25">
      <c r="A4" s="2">
        <f>Results!$D$3</f>
        <v>30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30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30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0.70101337302818911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5.7352444641363791E-2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5.9905688127998159E-2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6.0108877011707152E-4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7.5593271252979197E-2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9.0925413961734106E-2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1.420024049623116E-2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4.0847972138740256E-4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7.2505473499813844E-2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7.0534842187514712E-2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6.9534842187514712E-2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6.753484218751471E-2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1.2961388413464527E-2</v>
      </c>
      <c r="AB6" s="2">
        <f>SUMIFS(PERSALDATA!$G$2:$G$20871,PERSALDATA!$A$2:$A$20871,WORKING!A6,PERSALDATA!$D$2:$D$20871,WORKING!B6,PERSALDATA!$E$2:$E$20871,WORKING!C6,PERSALDATA!$F$2:$F$20871,"S&amp;W: BASIC SALARY (RES)")</f>
        <v>5</v>
      </c>
      <c r="AC6" s="2">
        <f>SUMIFS(PERSALDATA!$H$2:$H$20871,PERSALDATA!$A$2:$A$20871,WORKING!A6,PERSALDATA!$D$2:$D$20871,WORKING!B6,PERSALDATA!$E$2:$E$20871,WORKING!C6)</f>
        <v>856346.06</v>
      </c>
    </row>
    <row r="7" spans="1:29" x14ac:dyDescent="0.25">
      <c r="A7" s="2">
        <f>Results!$D$3</f>
        <v>30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0.65717058667880224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4.0456761650054837E-2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3.7959583424895596E-2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2.2237213227156872E-2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5.1046360697202933E-2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6.466021943855943E-2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1.6336235709960168E-2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3.3083323456343448E-4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7.5854331881301487E-2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3.3947874057502901E-2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7.3829720709468763E-2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7.0386099576209074E-2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6.9386099576209073E-2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6.7386099576209085E-2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1.3659948339650067E-2</v>
      </c>
      <c r="AB7" s="2">
        <f>SUMIFS(PERSALDATA!$G$2:$G$20871,PERSALDATA!$A$2:$A$20871,WORKING!A7,PERSALDATA!$D$2:$D$20871,WORKING!B7,PERSALDATA!$E$2:$E$20871,WORKING!C7,PERSALDATA!$F$2:$F$20871,"S&amp;W: BASIC SALARY (RES)")</f>
        <v>9</v>
      </c>
      <c r="AC7" s="2">
        <f>SUMIFS(PERSALDATA!$H$2:$H$20871,PERSALDATA!$A$2:$A$20871,WORKING!A7,PERSALDATA!$D$2:$D$20871,WORKING!B7,PERSALDATA!$E$2:$E$20871,WORKING!C7)</f>
        <v>1778207.08</v>
      </c>
    </row>
    <row r="8" spans="1:29" x14ac:dyDescent="0.25">
      <c r="A8" s="2">
        <f>Results!$D$3</f>
        <v>30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0.70106254816859481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5.2758281807877283E-2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4.7790419661783649E-2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9.9892762780355721E-3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5.7447087204114906E-2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8.3349341210389727E-2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1.0416730615837888E-2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2.8576220166994735E-4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2.3613876715932042E-2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1.2306139043049912E-2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9.8053709271416585E-4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7.3172187326562027E-2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7.0383802111443891E-2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6.938380211144389E-2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6.7383802111443888E-2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1.3417150963986468E-2</v>
      </c>
      <c r="AB8" s="2">
        <f>SUMIFS(PERSALDATA!$G$2:$G$20871,PERSALDATA!$A$2:$A$20871,WORKING!A8,PERSALDATA!$D$2:$D$20871,WORKING!B8,PERSALDATA!$E$2:$E$20871,WORKING!C8,PERSALDATA!$F$2:$F$20871,"S&amp;W: BASIC SALARY (RES)")</f>
        <v>35</v>
      </c>
      <c r="AC8" s="2">
        <f>SUMIFS(PERSALDATA!$H$2:$H$20871,PERSALDATA!$A$2:$A$20871,WORKING!A8,PERSALDATA!$D$2:$D$20871,WORKING!B8,PERSALDATA!$E$2:$E$20871,WORKING!C8)</f>
        <v>9058300.870000001</v>
      </c>
    </row>
    <row r="9" spans="1:29" x14ac:dyDescent="0.25">
      <c r="A9" s="2">
        <f>Results!$D$3</f>
        <v>30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0.7203663888348828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5.6795700827818589E-2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4.0205444794858332E-2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1.3874054060585098E-2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4.3847893642228908E-2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8.8409822374272945E-2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1.658209207827906E-2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2.4354443458880729E-4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1.0404184296889676E-2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1.1658955210688403E-3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8.1049791345272001E-3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7.355825670658199E-2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7.0255663956684866E-2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6.9255663956684865E-2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6.7255663956684877E-2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1.3735546756924861E-2</v>
      </c>
      <c r="AB9" s="2">
        <f>SUMIFS(PERSALDATA!$G$2:$G$20871,PERSALDATA!$A$2:$A$20871,WORKING!A9,PERSALDATA!$D$2:$D$20871,WORKING!B9,PERSALDATA!$E$2:$E$20871,WORKING!C9,PERSALDATA!$F$2:$F$20871,"S&amp;W: BASIC SALARY (RES)")</f>
        <v>16</v>
      </c>
      <c r="AC9" s="2">
        <f>SUMIFS(PERSALDATA!$H$2:$H$20871,PERSALDATA!$A$2:$A$20871,WORKING!A9,PERSALDATA!$D$2:$D$20871,WORKING!B9,PERSALDATA!$E$2:$E$20871,WORKING!C9)</f>
        <v>5290328.2399999993</v>
      </c>
    </row>
    <row r="10" spans="1:29" x14ac:dyDescent="0.25">
      <c r="A10" s="2">
        <f>Results!$D$3</f>
        <v>30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0.74393994550552422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5.4356319949894781E-2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3.34034121632494E-2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1.2330093226298596E-2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3.4984824738678671E-2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9.2699031675695986E-2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1.496037432510188E-2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2.0295681147129648E-4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1.1420545113184135E-2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1.7024964909010986E-3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7.3951128221934545E-2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7.0190738249447673E-2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6.91907382494477E-2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6.7190738249447671E-2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1.3971132094299012E-2</v>
      </c>
      <c r="AB10" s="2">
        <f>SUMIFS(PERSALDATA!$G$2:$G$20871,PERSALDATA!$A$2:$A$20871,WORKING!A10,PERSALDATA!$D$2:$D$20871,WORKING!B10,PERSALDATA!$E$2:$E$20871,WORKING!C10,PERSALDATA!$F$2:$F$20871,"S&amp;W: BASIC SALARY (RES)")</f>
        <v>21</v>
      </c>
      <c r="AC10" s="2">
        <f>SUMIFS(PERSALDATA!$H$2:$H$20871,PERSALDATA!$A$2:$A$20871,WORKING!A10,PERSALDATA!$D$2:$D$20871,WORKING!B10,PERSALDATA!$E$2:$E$20871,WORKING!C10)</f>
        <v>7238781.4399999995</v>
      </c>
    </row>
    <row r="11" spans="1:29" x14ac:dyDescent="0.25">
      <c r="A11" s="2">
        <f>Results!$D$3</f>
        <v>30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0.73681243779183792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5.7340108325458071E-2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2.4754941808901285E-2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1.1916773483992031E-2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3.1810373622389858E-2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8.5884901488459647E-2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1.0335481486655387E-2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1.7618957017096805E-4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2.7600119729214705E-2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1.3368672692920228E-2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7.4563969653236972E-2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7.0229606186246865E-2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6.9229606186246836E-2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6.7229606186246835E-2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1.4148877424978067E-2</v>
      </c>
      <c r="AB11" s="2">
        <f>SUMIFS(PERSALDATA!$G$2:$G$20871,PERSALDATA!$A$2:$A$20871,WORKING!A11,PERSALDATA!$D$2:$D$20871,WORKING!B11,PERSALDATA!$E$2:$E$20871,WORKING!C11,PERSALDATA!$F$2:$F$20871,"S&amp;W: BASIC SALARY (RES)")</f>
        <v>28</v>
      </c>
      <c r="AC11" s="2">
        <f>SUMIFS(PERSALDATA!$H$2:$H$20871,PERSALDATA!$A$2:$A$20871,WORKING!A11,PERSALDATA!$D$2:$D$20871,WORKING!B11,PERSALDATA!$E$2:$E$20871,WORKING!C11)</f>
        <v>10058597.669999998</v>
      </c>
    </row>
    <row r="12" spans="1:29" x14ac:dyDescent="0.25">
      <c r="A12" s="2">
        <f>Results!$D$3</f>
        <v>30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0.74932658800691032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5.8542695478700786E-2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2.2098237042551285E-2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6.68704870852659E-3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3.4128181118467237E-2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9.7442381754853091E-2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1.7140452009600789E-2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1.3216779721489852E-4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1.3874966071631724E-2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6.2728201154343402E-4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7.4798328520424645E-2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7.0290940346351499E-2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6.9290940346351512E-2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6.729094034635151E-2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1.41546212106265E-2</v>
      </c>
      <c r="AB12" s="2">
        <f>SUMIFS(PERSALDATA!$G$2:$G$20871,PERSALDATA!$A$2:$A$20871,WORKING!A12,PERSALDATA!$D$2:$D$20871,WORKING!B12,PERSALDATA!$E$2:$E$20871,WORKING!C12,PERSALDATA!$F$2:$F$20871,"S&amp;W: BASIC SALARY (RES)")</f>
        <v>26</v>
      </c>
      <c r="AC12" s="2">
        <f>SUMIFS(PERSALDATA!$H$2:$H$20871,PERSALDATA!$A$2:$A$20871,WORKING!A12,PERSALDATA!$D$2:$D$20871,WORKING!B12,PERSALDATA!$E$2:$E$20871,WORKING!C12)</f>
        <v>14159500.569999998</v>
      </c>
    </row>
    <row r="13" spans="1:29" x14ac:dyDescent="0.25">
      <c r="A13" s="2">
        <f>Results!$D$3</f>
        <v>30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0.71556171346840969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4.7956245546792772E-2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6.2015436322418217E-3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5.7081172163905734E-3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1.5590474522305975E-2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8.7165212377049994E-2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9.5727609823305949E-3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1.1913232210682832E-4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0.10516275543956759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6.9620444928041054E-3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1.4671332742850178E-2</v>
      </c>
      <c r="AB13" s="2">
        <f>SUMIFS(PERSALDATA!$G$2:$G$20871,PERSALDATA!$A$2:$A$20871,WORKING!A13,PERSALDATA!$D$2:$D$20871,WORKING!B13,PERSALDATA!$E$2:$E$20871,WORKING!C13,PERSALDATA!$F$2:$F$20871,"S&amp;W: BASIC SALARY (RES)")</f>
        <v>35</v>
      </c>
      <c r="AC13" s="2">
        <f>SUMIFS(PERSALDATA!$H$2:$H$20871,PERSALDATA!$A$2:$A$20871,WORKING!A13,PERSALDATA!$D$2:$D$20871,WORKING!B13,PERSALDATA!$E$2:$E$20871,WORKING!C13)</f>
        <v>19673166.429999989</v>
      </c>
    </row>
    <row r="14" spans="1:29" x14ac:dyDescent="0.25">
      <c r="A14" s="2">
        <f>Results!$D$3</f>
        <v>30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0.71568776234501585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4.9311479158296832E-2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1.0581581121691525E-2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3.1015953384789783E-3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1.3648584758354981E-2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8.8918987847581357E-2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2.2440296658425063E-2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9.1245754382115015E-5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8.8636462122862386E-2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7.5820048949106255E-3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1.4635178825483567E-2</v>
      </c>
      <c r="AB14" s="2">
        <f>SUMIFS(PERSALDATA!$G$2:$G$20871,PERSALDATA!$A$2:$A$20871,WORKING!A14,PERSALDATA!$D$2:$D$20871,WORKING!B14,PERSALDATA!$E$2:$E$20871,WORKING!C14,PERSALDATA!$F$2:$F$20871,"S&amp;W: BASIC SALARY (RES)")</f>
        <v>31</v>
      </c>
      <c r="AC14" s="2">
        <f>SUMIFS(PERSALDATA!$H$2:$H$20871,PERSALDATA!$A$2:$A$20871,WORKING!A14,PERSALDATA!$D$2:$D$20871,WORKING!B14,PERSALDATA!$E$2:$E$20871,WORKING!C14)</f>
        <v>24726739.510000005</v>
      </c>
    </row>
    <row r="15" spans="1:29" x14ac:dyDescent="0.25">
      <c r="A15" s="2">
        <f>Results!$D$3</f>
        <v>30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0.62144573016703619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3.8885349394150559E-2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1.1180823327508834E-2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1.1792849942743376E-2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8.0779102720604429E-2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1.4720227442666231E-2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7.3989261520611481E-5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0.2055627386064395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1.5315525349823087E-2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2.4366378750729326E-4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1.4654285062023409E-2</v>
      </c>
      <c r="AB15" s="2">
        <f>SUMIFS(PERSALDATA!$G$2:$G$20871,PERSALDATA!$A$2:$A$20871,WORKING!A15,PERSALDATA!$D$2:$D$20871,WORKING!B15,PERSALDATA!$E$2:$E$20871,WORKING!C15,PERSALDATA!$F$2:$F$20871,"S&amp;W: BASIC SALARY (RES)")</f>
        <v>37</v>
      </c>
      <c r="AC15" s="2">
        <f>SUMIFS(PERSALDATA!$H$2:$H$20871,PERSALDATA!$A$2:$A$20871,WORKING!A15,PERSALDATA!$D$2:$D$20871,WORKING!B15,PERSALDATA!$E$2:$E$20871,WORKING!C15)</f>
        <v>34354715.100000001</v>
      </c>
    </row>
    <row r="16" spans="1:29" x14ac:dyDescent="0.25">
      <c r="A16" s="2">
        <f>Results!$D$3</f>
        <v>30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0.60769754568657341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3.8748680228753996E-2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2.7451001720508687E-2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1.0079493125488531E-2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7.9000550718565113E-2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5.4387340050948028E-3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6.2015244261844199E-5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0.22118485420489895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1.0337125065854524E-2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1.4436112348646109E-2</v>
      </c>
      <c r="AB16" s="2">
        <f>SUMIFS(PERSALDATA!$G$2:$G$20871,PERSALDATA!$A$2:$A$20871,WORKING!A16,PERSALDATA!$D$2:$D$20871,WORKING!B16,PERSALDATA!$E$2:$E$20871,WORKING!C16,PERSALDATA!$F$2:$F$20871,"S&amp;W: BASIC SALARY (RES)")</f>
        <v>9</v>
      </c>
      <c r="AC16" s="2">
        <f>SUMIFS(PERSALDATA!$H$2:$H$20871,PERSALDATA!$A$2:$A$20871,WORKING!A16,PERSALDATA!$D$2:$D$20871,WORKING!B16,PERSALDATA!$E$2:$E$20871,WORKING!C16)</f>
        <v>11657133.800000001</v>
      </c>
    </row>
    <row r="17" spans="1:29" x14ac:dyDescent="0.25">
      <c r="A17" s="2">
        <f>Results!$D$3</f>
        <v>30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0.59149955082822459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2.7901953571013008E-2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2.5971034494293344E-3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1.4650397247886107E-2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7.689480109070361E-2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1.0684580640607495E-2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5.1001644160582793E-5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0.27009256533237219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8.6340020728002047E-4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1.2140775177805971E-3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3.5505684705424596E-3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1.4740522464877859E-2</v>
      </c>
      <c r="AB17" s="2">
        <f>SUMIFS(PERSALDATA!$G$2:$G$20871,PERSALDATA!$A$2:$A$20871,WORKING!A17,PERSALDATA!$D$2:$D$20871,WORKING!B17,PERSALDATA!$E$2:$E$20871,WORKING!C17,PERSALDATA!$F$2:$F$20871,"S&amp;W: BASIC SALARY (RES)")</f>
        <v>6</v>
      </c>
      <c r="AC17" s="2">
        <f>SUMIFS(PERSALDATA!$H$2:$H$20871,PERSALDATA!$A$2:$A$20871,WORKING!A17,PERSALDATA!$D$2:$D$20871,WORKING!B17,PERSALDATA!$E$2:$E$20871,WORKING!C17)</f>
        <v>7315842.5800000001</v>
      </c>
    </row>
    <row r="18" spans="1:29" x14ac:dyDescent="0.25">
      <c r="A18" s="2">
        <f>Results!$D$3</f>
        <v>30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0.59809132185738489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2.4004203727690483E-2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6.0791766237587941E-3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8.6229760799483079E-2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1.8188642857354449E-2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1.6897067802867112E-5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0.26738999706652555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1.4908558894626577E-2</v>
      </c>
      <c r="AB18" s="2">
        <f>SUMIFS(PERSALDATA!$G$2:$G$20871,PERSALDATA!$A$2:$A$20871,WORKING!A18,PERSALDATA!$D$2:$D$20871,WORKING!B18,PERSALDATA!$E$2:$E$20871,WORKING!C18,PERSALDATA!$F$2:$F$20871,"S&amp;W: BASIC SALARY (RES)")</f>
        <v>4</v>
      </c>
      <c r="AC18" s="2">
        <f>SUMIFS(PERSALDATA!$H$2:$H$20871,PERSALDATA!$A$2:$A$20871,WORKING!A18,PERSALDATA!$D$2:$D$20871,WORKING!B18,PERSALDATA!$E$2:$E$20871,WORKING!C18)</f>
        <v>8280726.6699999999</v>
      </c>
    </row>
    <row r="19" spans="1:29" x14ac:dyDescent="0.25">
      <c r="A19" s="2">
        <f>Results!$D$3</f>
        <v>30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30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30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30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30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30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30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30</v>
      </c>
      <c r="B26" s="2">
        <v>2</v>
      </c>
      <c r="C26" s="2">
        <v>7</v>
      </c>
      <c r="D26" s="62" t="str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/>
      </c>
      <c r="E26" s="62" t="str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/>
      </c>
      <c r="F26" s="62" t="str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/>
      </c>
      <c r="G26" s="69" t="str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/>
      </c>
      <c r="H26" s="62" t="str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/>
      </c>
      <c r="I26" s="62" t="str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/>
      </c>
      <c r="J26" s="62" t="str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/>
      </c>
      <c r="K26" s="62" t="str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/>
      </c>
      <c r="L26" s="62" t="str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/>
      </c>
      <c r="M26" s="62" t="str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/>
      </c>
      <c r="N26" s="62" t="str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/>
      </c>
      <c r="O26" s="62" t="str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/>
      </c>
      <c r="P26" s="62" t="str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/>
      </c>
      <c r="Q26" s="62" t="str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/>
      </c>
      <c r="R26" s="62" t="str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/>
      </c>
      <c r="S26" s="62" t="str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/>
      </c>
      <c r="T26" s="62" t="str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/>
      </c>
      <c r="U26" s="62" t="str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/>
      </c>
      <c r="V26" s="62" t="str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/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7.3827684520804057E-2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7.0033119199051808E-2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6.9033119199051793E-2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6.7033119199051777E-2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0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0</v>
      </c>
    </row>
    <row r="27" spans="1:29" x14ac:dyDescent="0.25">
      <c r="A27" s="2">
        <f>Results!$D$3</f>
        <v>30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30</v>
      </c>
      <c r="B28" s="2">
        <v>2</v>
      </c>
      <c r="C28" s="2">
        <v>9</v>
      </c>
      <c r="D28" s="62" t="str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/>
      </c>
      <c r="E28" s="62" t="str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/>
      </c>
      <c r="F28" s="62" t="str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/>
      </c>
      <c r="G28" s="69" t="str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/>
      </c>
      <c r="H28" s="62" t="str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/>
      </c>
      <c r="I28" s="62" t="str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/>
      </c>
      <c r="J28" s="62" t="str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/>
      </c>
      <c r="K28" s="62" t="str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/>
      </c>
      <c r="L28" s="62" t="str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/>
      </c>
      <c r="M28" s="62" t="str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/>
      </c>
      <c r="N28" s="62" t="str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/>
      </c>
      <c r="O28" s="62" t="str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/>
      </c>
      <c r="P28" s="62" t="str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/>
      </c>
      <c r="Q28" s="62" t="str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/>
      </c>
      <c r="R28" s="62" t="str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/>
      </c>
      <c r="S28" s="62" t="str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/>
      </c>
      <c r="T28" s="62" t="str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/>
      </c>
      <c r="U28" s="62" t="str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/>
      </c>
      <c r="V28" s="62" t="str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/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0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30</v>
      </c>
      <c r="B29" s="2">
        <v>2</v>
      </c>
      <c r="C29" s="2">
        <v>10</v>
      </c>
      <c r="D29" s="62" t="str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/>
      </c>
      <c r="E29" s="62" t="str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/>
      </c>
      <c r="F29" s="62" t="str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/>
      </c>
      <c r="G29" s="69" t="str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/>
      </c>
      <c r="H29" s="62" t="str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/>
      </c>
      <c r="I29" s="62" t="str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/>
      </c>
      <c r="J29" s="62" t="str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/>
      </c>
      <c r="K29" s="62" t="str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/>
      </c>
      <c r="L29" s="62" t="str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/>
      </c>
      <c r="M29" s="62" t="str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/>
      </c>
      <c r="N29" s="62" t="str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/>
      </c>
      <c r="O29" s="62" t="str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/>
      </c>
      <c r="P29" s="62" t="str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/>
      </c>
      <c r="Q29" s="62" t="str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/>
      </c>
      <c r="R29" s="62" t="str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/>
      </c>
      <c r="S29" s="62" t="str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/>
      </c>
      <c r="T29" s="62" t="str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/>
      </c>
      <c r="U29" s="62" t="str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/>
      </c>
      <c r="V29" s="62" t="str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/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0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30</v>
      </c>
      <c r="B30" s="2">
        <v>2</v>
      </c>
      <c r="C30" s="2">
        <v>11</v>
      </c>
      <c r="D30" s="62" t="str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/>
      </c>
      <c r="E30" s="62" t="str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/>
      </c>
      <c r="F30" s="62" t="str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/>
      </c>
      <c r="G30" s="69" t="str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/>
      </c>
      <c r="H30" s="62" t="str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/>
      </c>
      <c r="I30" s="62" t="str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/>
      </c>
      <c r="J30" s="62" t="str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/>
      </c>
      <c r="K30" s="62" t="str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/>
      </c>
      <c r="L30" s="62" t="str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/>
      </c>
      <c r="M30" s="62" t="str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/>
      </c>
      <c r="N30" s="62" t="str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/>
      </c>
      <c r="O30" s="62" t="str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/>
      </c>
      <c r="P30" s="62" t="str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/>
      </c>
      <c r="Q30" s="62" t="str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/>
      </c>
      <c r="R30" s="62" t="str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/>
      </c>
      <c r="S30" s="62" t="str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/>
      </c>
      <c r="T30" s="62" t="str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/>
      </c>
      <c r="U30" s="62" t="str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/>
      </c>
      <c r="V30" s="62" t="str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/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0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30</v>
      </c>
      <c r="B31" s="2">
        <v>2</v>
      </c>
      <c r="C31" s="2">
        <v>12</v>
      </c>
      <c r="D31" s="62" t="str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/>
      </c>
      <c r="E31" s="62" t="str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/>
      </c>
      <c r="F31" s="62" t="str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/>
      </c>
      <c r="G31" s="69" t="str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/>
      </c>
      <c r="H31" s="62" t="str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/>
      </c>
      <c r="I31" s="62" t="str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/>
      </c>
      <c r="J31" s="62" t="str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/>
      </c>
      <c r="K31" s="62" t="str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/>
      </c>
      <c r="L31" s="62" t="str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/>
      </c>
      <c r="M31" s="62" t="str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/>
      </c>
      <c r="N31" s="62" t="str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/>
      </c>
      <c r="O31" s="62" t="str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/>
      </c>
      <c r="P31" s="62" t="str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/>
      </c>
      <c r="Q31" s="62" t="str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/>
      </c>
      <c r="R31" s="62" t="str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/>
      </c>
      <c r="S31" s="62" t="str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/>
      </c>
      <c r="T31" s="62" t="str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/>
      </c>
      <c r="U31" s="62" t="str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/>
      </c>
      <c r="V31" s="62" t="str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/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0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30</v>
      </c>
      <c r="B32" s="2">
        <v>2</v>
      </c>
      <c r="C32" s="2">
        <v>13</v>
      </c>
      <c r="D32" s="62" t="str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/>
      </c>
      <c r="E32" s="62" t="str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/>
      </c>
      <c r="F32" s="62" t="str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/>
      </c>
      <c r="G32" s="69" t="str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/>
      </c>
      <c r="H32" s="62" t="str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/>
      </c>
      <c r="I32" s="62" t="str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/>
      </c>
      <c r="J32" s="62" t="str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/>
      </c>
      <c r="K32" s="62" t="str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/>
      </c>
      <c r="L32" s="62" t="str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/>
      </c>
      <c r="M32" s="62" t="str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/>
      </c>
      <c r="N32" s="62" t="str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/>
      </c>
      <c r="O32" s="62" t="str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/>
      </c>
      <c r="P32" s="62" t="str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/>
      </c>
      <c r="Q32" s="62" t="str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/>
      </c>
      <c r="R32" s="62" t="str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/>
      </c>
      <c r="S32" s="62" t="str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/>
      </c>
      <c r="T32" s="62" t="str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/>
      </c>
      <c r="U32" s="62" t="str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/>
      </c>
      <c r="V32" s="62" t="str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/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0</v>
      </c>
      <c r="AB32" s="2">
        <f>SUMIFS(PERSALDATA!$G$2:$G$20871,PERSALDATA!$A$2:$A$20871,WORKING!A32,PERSALDATA!$D$2:$D$20871,WORKING!B32,PERSALDATA!$E$2:$E$20871,WORKING!C32,PERSALDATA!$F$2:$F$20871,"S&amp;W: BASIC SALARY (RES)")</f>
        <v>0</v>
      </c>
      <c r="AC32" s="2">
        <f>SUMIFS(PERSALDATA!$H$2:$H$20871,PERSALDATA!$A$2:$A$20871,WORKING!A32,PERSALDATA!$D$2:$D$20871,WORKING!B32,PERSALDATA!$E$2:$E$20871,WORKING!C32)</f>
        <v>0</v>
      </c>
    </row>
    <row r="33" spans="1:29" x14ac:dyDescent="0.25">
      <c r="A33" s="2">
        <f>Results!$D$3</f>
        <v>30</v>
      </c>
      <c r="B33" s="2">
        <v>2</v>
      </c>
      <c r="C33" s="2">
        <v>14</v>
      </c>
      <c r="D33" s="62" t="str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/>
      </c>
      <c r="E33" s="62" t="str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/>
      </c>
      <c r="F33" s="62" t="str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/>
      </c>
      <c r="G33" s="69" t="str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/>
      </c>
      <c r="H33" s="62" t="str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/>
      </c>
      <c r="I33" s="62" t="str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/>
      </c>
      <c r="J33" s="62" t="str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/>
      </c>
      <c r="K33" s="62" t="str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/>
      </c>
      <c r="L33" s="62" t="str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/>
      </c>
      <c r="M33" s="62" t="str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/>
      </c>
      <c r="N33" s="62" t="str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/>
      </c>
      <c r="O33" s="62" t="str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/>
      </c>
      <c r="P33" s="62" t="str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/>
      </c>
      <c r="Q33" s="62" t="str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/>
      </c>
      <c r="R33" s="62" t="str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/>
      </c>
      <c r="S33" s="62" t="str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/>
      </c>
      <c r="T33" s="62" t="str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/>
      </c>
      <c r="U33" s="62" t="str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/>
      </c>
      <c r="V33" s="62" t="str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/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0</v>
      </c>
      <c r="AB33" s="2">
        <f>SUMIFS(PERSALDATA!$G$2:$G$20871,PERSALDATA!$A$2:$A$20871,WORKING!A33,PERSALDATA!$D$2:$D$20871,WORKING!B33,PERSALDATA!$E$2:$E$20871,WORKING!C33,PERSALDATA!$F$2:$F$20871,"S&amp;W: BASIC SALARY (RES)")</f>
        <v>0</v>
      </c>
      <c r="AC33" s="2">
        <f>SUMIFS(PERSALDATA!$H$2:$H$20871,PERSALDATA!$A$2:$A$20871,WORKING!A33,PERSALDATA!$D$2:$D$20871,WORKING!B33,PERSALDATA!$E$2:$E$20871,WORKING!C33)</f>
        <v>0</v>
      </c>
    </row>
    <row r="34" spans="1:29" x14ac:dyDescent="0.25">
      <c r="A34" s="2">
        <f>Results!$D$3</f>
        <v>30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30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30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30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30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30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30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30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30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0.71216959689888282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4.8240947400166032E-2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4.9356217790039195E-2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9.228411845525894E-2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9.2288117389693017E-2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5.3529520176023243E-3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3.0805004835768502E-4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7.3540905106330642E-2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7.0890699598928519E-2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6.9890699598928505E-2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6.7890699598928503E-2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1.287077420559516E-2</v>
      </c>
      <c r="AB42" s="2">
        <f>SUMIFS(PERSALDATA!$G$2:$G$20871,PERSALDATA!$A$2:$A$20871,WORKING!A42,PERSALDATA!$D$2:$D$20871,WORKING!B42,PERSALDATA!$E$2:$E$20871,WORKING!C42,PERSALDATA!$F$2:$F$20871,"S&amp;W: BASIC SALARY (RES)")</f>
        <v>4</v>
      </c>
      <c r="AC42" s="2">
        <f>SUMIFS(PERSALDATA!$H$2:$H$20871,PERSALDATA!$A$2:$A$20871,WORKING!A42,PERSALDATA!$D$2:$D$20871,WORKING!B42,PERSALDATA!$E$2:$E$20871,WORKING!C42)</f>
        <v>832721.83000000007</v>
      </c>
    </row>
    <row r="43" spans="1:29" x14ac:dyDescent="0.25">
      <c r="A43" s="2">
        <f>Results!$D$3</f>
        <v>30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0.75469256429419862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3.0971456422489555E-2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3.578763955522591E-2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6.9753707192349843E-2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9.8109352256978727E-2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1.0420338134494493E-2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2.6494214426281523E-4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7.4256691294495733E-2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7.0688429212332995E-2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6.9688429212332995E-2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6.7688429212332979E-2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1.341290566662242E-2</v>
      </c>
      <c r="AB43" s="2">
        <f>SUMIFS(PERSALDATA!$G$2:$G$20871,PERSALDATA!$A$2:$A$20871,WORKING!A43,PERSALDATA!$D$2:$D$20871,WORKING!B43,PERSALDATA!$E$2:$E$20871,WORKING!C43,PERSALDATA!$F$2:$F$20871,"S&amp;W: BASIC SALARY (RES)")</f>
        <v>3</v>
      </c>
      <c r="AC43" s="2">
        <f>SUMIFS(PERSALDATA!$H$2:$H$20871,PERSALDATA!$A$2:$A$20871,WORKING!A43,PERSALDATA!$D$2:$D$20871,WORKING!B43,PERSALDATA!$E$2:$E$20871,WORKING!C43)</f>
        <v>528115.30000000005</v>
      </c>
    </row>
    <row r="44" spans="1:29" x14ac:dyDescent="0.25">
      <c r="A44" s="2">
        <f>Results!$D$3</f>
        <v>30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0.75360252172489628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6.4818307898563188E-2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2.2036785426625898E-2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3.9333273175098868E-2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9.796782617383655E-2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2.2039347426882815E-2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2.0193817409645747E-4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7.4875870132027816E-2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7.0369631243360223E-2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6.9369631243360236E-2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6.7369631243360248E-2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1.4076420048362683E-2</v>
      </c>
      <c r="AB44" s="2">
        <f>SUMIFS(PERSALDATA!$G$2:$G$20871,PERSALDATA!$A$2:$A$20871,WORKING!A44,PERSALDATA!$D$2:$D$20871,WORKING!B44,PERSALDATA!$E$2:$E$20871,WORKING!C44,PERSALDATA!$F$2:$F$20871,"S&amp;W: BASIC SALARY (RES)")</f>
        <v>5</v>
      </c>
      <c r="AC44" s="2">
        <f>SUMIFS(PERSALDATA!$H$2:$H$20871,PERSALDATA!$A$2:$A$20871,WORKING!A44,PERSALDATA!$D$2:$D$20871,WORKING!B44,PERSALDATA!$E$2:$E$20871,WORKING!C44)</f>
        <v>1674472.9</v>
      </c>
    </row>
    <row r="45" spans="1:29" x14ac:dyDescent="0.25">
      <c r="A45" s="2">
        <f>Results!$D$3</f>
        <v>30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0.75571855828955392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6.7165204029012854E-2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2.7207057403646349E-2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3.8607817994776764E-2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9.6624989060031072E-2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9.9689947704802058E-3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1.8092693173424838E-4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4.5264515207646778E-3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7.4472773089249752E-2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7.0307046695885195E-2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6.9307046695885208E-2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6.7307046695885206E-2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1.4010062965047641E-2</v>
      </c>
      <c r="AB45" s="2">
        <f>SUMIFS(PERSALDATA!$G$2:$G$20871,PERSALDATA!$A$2:$A$20871,WORKING!A45,PERSALDATA!$D$2:$D$20871,WORKING!B45,PERSALDATA!$E$2:$E$20871,WORKING!C45,PERSALDATA!$F$2:$F$20871,"S&amp;W: BASIC SALARY (RES)")</f>
        <v>14</v>
      </c>
      <c r="AC45" s="2">
        <f>SUMIFS(PERSALDATA!$H$2:$H$20871,PERSALDATA!$A$2:$A$20871,WORKING!A45,PERSALDATA!$D$2:$D$20871,WORKING!B45,PERSALDATA!$E$2:$E$20871,WORKING!C45)</f>
        <v>5380956.7799999993</v>
      </c>
    </row>
    <row r="46" spans="1:29" x14ac:dyDescent="0.25">
      <c r="A46" s="2">
        <f>Results!$D$3</f>
        <v>30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0.76865796364620209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6.0773397142591432E-2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2.5375511945388691E-2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3.1231436008425102E-2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9.9925128248250741E-2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1.389566849995943E-2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1.408945091824915E-4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7.4508701196268415E-2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7.0214716420672493E-2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6.9214716420672479E-2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6.7214716420672505E-2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1.4148782363055055E-2</v>
      </c>
      <c r="AB46" s="2">
        <f>SUMIFS(PERSALDATA!$G$2:$G$20871,PERSALDATA!$A$2:$A$20871,WORKING!A46,PERSALDATA!$D$2:$D$20871,WORKING!B46,PERSALDATA!$E$2:$E$20871,WORKING!C46,PERSALDATA!$F$2:$F$20871,"S&amp;W: BASIC SALARY (RES)")</f>
        <v>3</v>
      </c>
      <c r="AC46" s="2">
        <f>SUMIFS(PERSALDATA!$H$2:$H$20871,PERSALDATA!$A$2:$A$20871,WORKING!A46,PERSALDATA!$D$2:$D$20871,WORKING!B46,PERSALDATA!$E$2:$E$20871,WORKING!C46)</f>
        <v>1572382.07</v>
      </c>
    </row>
    <row r="47" spans="1:29" x14ac:dyDescent="0.25">
      <c r="A47" s="2">
        <f>Results!$D$3</f>
        <v>30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0.71154863676164948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5.191827552650307E-2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1.1699670660120752E-2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1.7681502274551723E-2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9.2500954644377242E-2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1.6858062953956875E-2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1.1806167662283398E-4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9.0619499106409901E-2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7.0553363958081265E-3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1.455751148083057E-2</v>
      </c>
      <c r="AB47" s="2">
        <f>SUMIFS(PERSALDATA!$G$2:$G$20871,PERSALDATA!$A$2:$A$20871,WORKING!A47,PERSALDATA!$D$2:$D$20871,WORKING!B47,PERSALDATA!$E$2:$E$20871,WORKING!C47,PERSALDATA!$F$2:$F$20871,"S&amp;W: BASIC SALARY (RES)")</f>
        <v>11</v>
      </c>
      <c r="AC47" s="2">
        <f>SUMIFS(PERSALDATA!$H$2:$H$20871,PERSALDATA!$A$2:$A$20871,WORKING!A47,PERSALDATA!$D$2:$D$20871,WORKING!B47,PERSALDATA!$E$2:$E$20871,WORKING!C47)</f>
        <v>6666854.3300000001</v>
      </c>
    </row>
    <row r="48" spans="1:29" x14ac:dyDescent="0.25">
      <c r="A48" s="2">
        <f>Results!$D$3</f>
        <v>30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0.71883850863518195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4.8574534259250159E-2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1.4135817567144084E-2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1.5179381381085164E-2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9.3448767560197238E-2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2.7376274652060321E-2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9.1983716541109667E-5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8.2354732228539992E-2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1.4558892260028444E-2</v>
      </c>
      <c r="AB48" s="2">
        <f>SUMIFS(PERSALDATA!$G$2:$G$20871,PERSALDATA!$A$2:$A$20871,WORKING!A48,PERSALDATA!$D$2:$D$20871,WORKING!B48,PERSALDATA!$E$2:$E$20871,WORKING!C48,PERSALDATA!$F$2:$F$20871,"S&amp;W: BASIC SALARY (RES)")</f>
        <v>6</v>
      </c>
      <c r="AC48" s="2">
        <f>SUMIFS(PERSALDATA!$H$2:$H$20871,PERSALDATA!$A$2:$A$20871,WORKING!A48,PERSALDATA!$D$2:$D$20871,WORKING!B48,PERSALDATA!$E$2:$E$20871,WORKING!C48)</f>
        <v>4690177.96</v>
      </c>
    </row>
    <row r="49" spans="1:29" x14ac:dyDescent="0.25">
      <c r="A49" s="2">
        <f>Results!$D$3</f>
        <v>30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0.64097014666131269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3.3386541482241468E-2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6.2067972707913789E-3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1.5591578190849123E-2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8.3209422815346157E-2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1.2305881781745444E-2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7.4783631383341747E-5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0.20638142985676317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9.5460542024771399E-4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9.188128893194838E-4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1.4671902613604643E-2</v>
      </c>
      <c r="AB49" s="2">
        <f>SUMIFS(PERSALDATA!$G$2:$G$20871,PERSALDATA!$A$2:$A$20871,WORKING!A49,PERSALDATA!$D$2:$D$20871,WORKING!B49,PERSALDATA!$E$2:$E$20871,WORKING!C49,PERSALDATA!$F$2:$F$20871,"S&amp;W: BASIC SALARY (RES)")</f>
        <v>10</v>
      </c>
      <c r="AC49" s="2">
        <f>SUMIFS(PERSALDATA!$H$2:$H$20871,PERSALDATA!$A$2:$A$20871,WORKING!A49,PERSALDATA!$D$2:$D$20871,WORKING!B49,PERSALDATA!$E$2:$E$20871,WORKING!C49)</f>
        <v>9666821.290000001</v>
      </c>
    </row>
    <row r="50" spans="1:29" x14ac:dyDescent="0.25">
      <c r="A50" s="2">
        <f>Results!$D$3</f>
        <v>30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0.62383370447572373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3.4300257371456443E-2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1.0587439542175442E-2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8.1098237154403743E-2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1.8164741707664821E-2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6.3193596669691888E-5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0.23195242615190609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1.4840240502917322E-2</v>
      </c>
      <c r="AB50" s="2">
        <f>SUMIFS(PERSALDATA!$G$2:$G$20871,PERSALDATA!$A$2:$A$20871,WORKING!A50,PERSALDATA!$D$2:$D$20871,WORKING!B50,PERSALDATA!$E$2:$E$20871,WORKING!C50,PERSALDATA!$F$2:$F$20871,"S&amp;W: BASIC SALARY (RES)")</f>
        <v>3</v>
      </c>
      <c r="AC50" s="2">
        <f>SUMIFS(PERSALDATA!$H$2:$H$20871,PERSALDATA!$A$2:$A$20871,WORKING!A50,PERSALDATA!$D$2:$D$20871,WORKING!B50,PERSALDATA!$E$2:$E$20871,WORKING!C50)</f>
        <v>3413478.7600000002</v>
      </c>
    </row>
    <row r="51" spans="1:29" x14ac:dyDescent="0.25">
      <c r="A51" s="2">
        <f>Results!$D$3</f>
        <v>30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30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30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30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30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30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30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30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30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0.71834711894777381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6.6077504331304118E-2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5.7545263804411842E-2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8.52727032114443E-4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4.6775134856899457E-2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9.3384351799108339E-2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1.6719686883517052E-2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2.9821234487086311E-4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7.228141183886129E-2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7.0126174384809378E-2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6.9126174384809363E-2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6.7126174384809389E-2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1.3430720834907265E-2</v>
      </c>
      <c r="AB59" s="2">
        <f>SUMIFS(PERSALDATA!$G$2:$G$20871,PERSALDATA!$A$2:$A$20871,WORKING!A59,PERSALDATA!$D$2:$D$20871,WORKING!B59,PERSALDATA!$E$2:$E$20871,WORKING!C59,PERSALDATA!$F$2:$F$20871,"S&amp;W: BASIC SALARY (RES)")</f>
        <v>5</v>
      </c>
      <c r="AC59" s="2">
        <f>SUMIFS(PERSALDATA!$H$2:$H$20871,PERSALDATA!$A$2:$A$20871,WORKING!A59,PERSALDATA!$D$2:$D$20871,WORKING!B59,PERSALDATA!$E$2:$E$20871,WORKING!C59)</f>
        <v>1172989.6700000002</v>
      </c>
    </row>
    <row r="60" spans="1:29" x14ac:dyDescent="0.25">
      <c r="A60" s="2">
        <f>Results!$D$3</f>
        <v>30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30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0.78123683434502833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5.4646888678279486E-2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2.8188231439474232E-2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2.4326052229051823E-2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0.10156013595949627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9.8237552579425458E-3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2.1810209072721585E-4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7.419825914180668E-2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7.008300846904103E-2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6.908300846904103E-2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6.7083008469041042E-2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1.4209014213611199E-2</v>
      </c>
      <c r="AB61" s="2">
        <f>SUMIFS(PERSALDATA!$G$2:$G$20871,PERSALDATA!$A$2:$A$20871,WORKING!A61,PERSALDATA!$D$2:$D$20871,WORKING!B61,PERSALDATA!$E$2:$E$20871,WORKING!C61,PERSALDATA!$F$2:$F$20871,"S&amp;W: BASIC SALARY (RES)")</f>
        <v>4</v>
      </c>
      <c r="AC61" s="2">
        <f>SUMIFS(PERSALDATA!$H$2:$H$20871,PERSALDATA!$A$2:$A$20871,WORKING!A61,PERSALDATA!$D$2:$D$20871,WORKING!B61,PERSALDATA!$E$2:$E$20871,WORKING!C61)</f>
        <v>1149415.8500000001</v>
      </c>
    </row>
    <row r="62" spans="1:29" x14ac:dyDescent="0.25">
      <c r="A62" s="2">
        <f>Results!$D$3</f>
        <v>30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30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30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0.7153163980318562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5.6909364935677713E-2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9.3684283598810033E-3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5.5726648113255039E-3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9.2990783820152911E-2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1.5558463442570057E-2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1.175527303483589E-4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0.10416634386818813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1.4774120311476676E-2</v>
      </c>
      <c r="AB64" s="2">
        <f>SUMIFS(PERSALDATA!$G$2:$G$20871,PERSALDATA!$A$2:$A$20871,WORKING!A64,PERSALDATA!$D$2:$D$20871,WORKING!B64,PERSALDATA!$E$2:$E$20871,WORKING!C64,PERSALDATA!$F$2:$F$20871,"S&amp;W: BASIC SALARY (RES)")</f>
        <v>8</v>
      </c>
      <c r="AC64" s="2">
        <f>SUMIFS(PERSALDATA!$H$2:$H$20871,PERSALDATA!$A$2:$A$20871,WORKING!A64,PERSALDATA!$D$2:$D$20871,WORKING!B64,PERSALDATA!$E$2:$E$20871,WORKING!C64)</f>
        <v>4761097.4100000011</v>
      </c>
    </row>
    <row r="65" spans="1:29" x14ac:dyDescent="0.25">
      <c r="A65" s="2">
        <f>Results!$D$3</f>
        <v>30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0.72011334769814828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4.2369088185654054E-2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1.5673700192817455E-2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7.7665118756481411E-3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9.3614467842251414E-2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1.7909076935031226E-2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9.3974793695342527E-5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9.5435169023190214E-2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7.0246634535638258E-3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1.4646987197067585E-2</v>
      </c>
      <c r="AB65" s="2">
        <f>SUMIFS(PERSALDATA!$G$2:$G$20871,PERSALDATA!$A$2:$A$20871,WORKING!A65,PERSALDATA!$D$2:$D$20871,WORKING!B65,PERSALDATA!$E$2:$E$20871,WORKING!C65,PERSALDATA!$F$2:$F$20871,"S&amp;W: BASIC SALARY (RES)")</f>
        <v>11</v>
      </c>
      <c r="AC65" s="2">
        <f>SUMIFS(PERSALDATA!$H$2:$H$20871,PERSALDATA!$A$2:$A$20871,WORKING!A65,PERSALDATA!$D$2:$D$20871,WORKING!B65,PERSALDATA!$E$2:$E$20871,WORKING!C65)</f>
        <v>8189004.4100000001</v>
      </c>
    </row>
    <row r="66" spans="1:29" x14ac:dyDescent="0.25">
      <c r="A66" s="2">
        <f>Results!$D$3</f>
        <v>30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0.6436211107549259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3.7812941195030252E-2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2.1408616766744708E-2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1.378245432568562E-2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7.6286458406040286E-2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1.7313637584939052E-2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7.5544247954021038E-5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0.1896992367186803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1.4471000769894236E-2</v>
      </c>
      <c r="AB66" s="2">
        <f>SUMIFS(PERSALDATA!$G$2:$G$20871,PERSALDATA!$A$2:$A$20871,WORKING!A66,PERSALDATA!$D$2:$D$20871,WORKING!B66,PERSALDATA!$E$2:$E$20871,WORKING!C66,PERSALDATA!$F$2:$F$20871,"S&amp;W: BASIC SALARY (RES)")</f>
        <v>12</v>
      </c>
      <c r="AC66" s="2">
        <f>SUMIFS(PERSALDATA!$H$2:$H$20871,PERSALDATA!$A$2:$A$20871,WORKING!A66,PERSALDATA!$D$2:$D$20871,WORKING!B66,PERSALDATA!$E$2:$E$20871,WORKING!C66)</f>
        <v>10649917.389999999</v>
      </c>
    </row>
    <row r="67" spans="1:29" x14ac:dyDescent="0.25">
      <c r="A67" s="2">
        <f>Results!$D$3</f>
        <v>30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0.62792143437918413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1.9759026571146903E-2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4.2843896839482448E-3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8.1629640998316239E-2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6.43789893529899E-5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0.26634112937805143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1.4934768469900481E-2</v>
      </c>
      <c r="AB67" s="2">
        <f>SUMIFS(PERSALDATA!$G$2:$G$20871,PERSALDATA!$A$2:$A$20871,WORKING!A67,PERSALDATA!$D$2:$D$20871,WORKING!B67,PERSALDATA!$E$2:$E$20871,WORKING!C67,PERSALDATA!$F$2:$F$20871,"S&amp;W: BASIC SALARY (RES)")</f>
        <v>4</v>
      </c>
      <c r="AC67" s="2">
        <f>SUMIFS(PERSALDATA!$H$2:$H$20871,PERSALDATA!$A$2:$A$20871,WORKING!A67,PERSALDATA!$D$2:$D$20871,WORKING!B67,PERSALDATA!$E$2:$E$20871,WORKING!C67)</f>
        <v>3712080.64</v>
      </c>
    </row>
    <row r="68" spans="1:29" x14ac:dyDescent="0.25">
      <c r="A68" s="2">
        <f>Results!$D$3</f>
        <v>30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30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30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30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30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30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30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30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0.72964570693944597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0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0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0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0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0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0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3.8554682178478417E-4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0.26996874623876921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0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7.5999999999999998E-2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7.0000000000000007E-2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6.9000000000000006E-2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6.7000000000000004E-2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1.4994216797673227E-2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15121.380000000001</v>
      </c>
    </row>
    <row r="76" spans="1:29" x14ac:dyDescent="0.25">
      <c r="A76" s="2">
        <f>Results!$D$3</f>
        <v>30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0.76570107306236612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5.0989166026647596E-2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5.3640623070656319E-2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0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2.3920790136206717E-2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9.9540203662675839E-2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5.8728640066013317E-3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3.3528003484611983E-4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0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0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0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7.2258203708537E-2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6.9822405621336542E-2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6.8822405621336555E-2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6.6822405621336553E-2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1.3831549601374364E-2</v>
      </c>
      <c r="AB76" s="2">
        <f>SUMIFS(PERSALDATA!$G$2:$G$20871,PERSALDATA!$A$2:$A$20871,WORKING!A76,PERSALDATA!$D$2:$D$20871,WORKING!B76,PERSALDATA!$E$2:$E$20871,WORKING!C76,PERSALDATA!$F$2:$F$20871,"S&amp;W: BASIC SALARY (RES)")</f>
        <v>5</v>
      </c>
      <c r="AC76" s="2">
        <f>SUMIFS(PERSALDATA!$H$2:$H$20871,PERSALDATA!$A$2:$A$20871,WORKING!A76,PERSALDATA!$D$2:$D$20871,WORKING!B76,PERSALDATA!$E$2:$E$20871,WORKING!C76)</f>
        <v>956364.73</v>
      </c>
    </row>
    <row r="77" spans="1:29" x14ac:dyDescent="0.25">
      <c r="A77" s="2">
        <f>Results!$D$3</f>
        <v>30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0.73784189890391183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6.1482139540383438E-2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4.5484923487241147E-2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0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4.2024700048619169E-2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9.591878353570768E-2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1.7011841502864996E-2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2.3571298127165847E-4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0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0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0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7.3131491615650329E-2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7.0175521265856869E-2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6.9175521265856868E-2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6.7175521265856866E-2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1.3683819952243017E-2</v>
      </c>
      <c r="AB77" s="2">
        <f>SUMIFS(PERSALDATA!$G$2:$G$20871,PERSALDATA!$A$2:$A$20871,WORKING!A77,PERSALDATA!$D$2:$D$20871,WORKING!B77,PERSALDATA!$E$2:$E$20871,WORKING!C77,PERSALDATA!$F$2:$F$20871,"S&amp;W: BASIC SALARY (RES)")</f>
        <v>4</v>
      </c>
      <c r="AC77" s="2">
        <f>SUMIFS(PERSALDATA!$H$2:$H$20871,PERSALDATA!$A$2:$A$20871,WORKING!A77,PERSALDATA!$D$2:$D$20871,WORKING!B77,PERSALDATA!$E$2:$E$20871,WORKING!C77)</f>
        <v>1187206.57</v>
      </c>
    </row>
    <row r="78" spans="1:29" x14ac:dyDescent="0.25">
      <c r="A78" s="2">
        <f>Results!$D$3</f>
        <v>30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0.73030330792480458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6.285686765378351E-2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2.9988052625056414E-2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0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4.5737957567422188E-2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8.2462169173095054E-2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1.3631726362321853E-2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2.0298654497851853E-4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3.4816932148537948E-2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0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0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7.4361239406439628E-2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7.0386188837260777E-2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6.9386188837260762E-2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6.7386188837260774E-2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1.3861065048938144E-2</v>
      </c>
      <c r="AB78" s="2">
        <f>SUMIFS(PERSALDATA!$G$2:$G$20871,PERSALDATA!$A$2:$A$20871,WORKING!A78,PERSALDATA!$D$2:$D$20871,WORKING!B78,PERSALDATA!$E$2:$E$20871,WORKING!C78,PERSALDATA!$F$2:$F$20871,"S&amp;W: BASIC SALARY (RES)")</f>
        <v>5</v>
      </c>
      <c r="AC78" s="2">
        <f>SUMIFS(PERSALDATA!$H$2:$H$20871,PERSALDATA!$A$2:$A$20871,WORKING!A78,PERSALDATA!$D$2:$D$20871,WORKING!B78,PERSALDATA!$E$2:$E$20871,WORKING!C78)</f>
        <v>1780709.16</v>
      </c>
    </row>
    <row r="79" spans="1:29" x14ac:dyDescent="0.25">
      <c r="A79" s="2">
        <f>Results!$D$3</f>
        <v>30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0.72990559289749068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0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0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0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0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0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0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1.9545914543451189E-4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0.26989894795707475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0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7.5999999999999984E-2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7.0000000000000007E-2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6.9000000000000006E-2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6.7000000000000004E-2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1.4997068112818481E-2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238617.64</v>
      </c>
    </row>
    <row r="80" spans="1:29" x14ac:dyDescent="0.25">
      <c r="A80" s="2">
        <f>Results!$D$3</f>
        <v>30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0.77012803119397055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6.3873635376433535E-2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2.7649871520263668E-2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0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1.8461921621011609E-2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0.10011623698766324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1.9627015522023433E-2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1.4328777863389971E-4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0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0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0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7.4157076667154126E-2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7.0000430109112541E-2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6.9000430109112526E-2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6.7000430109112538E-2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1.4306173786201363E-2</v>
      </c>
      <c r="AB80" s="2">
        <f>SUMIFS(PERSALDATA!$G$2:$G$20871,PERSALDATA!$A$2:$A$20871,WORKING!A80,PERSALDATA!$D$2:$D$20871,WORKING!B80,PERSALDATA!$E$2:$E$20871,WORKING!C80,PERSALDATA!$F$2:$F$20871,"S&amp;W: BASIC SALARY (RES)")</f>
        <v>4</v>
      </c>
      <c r="AC80" s="2">
        <f>SUMIFS(PERSALDATA!$H$2:$H$20871,PERSALDATA!$A$2:$A$20871,WORKING!A80,PERSALDATA!$D$2:$D$20871,WORKING!B80,PERSALDATA!$E$2:$E$20871,WORKING!C80)</f>
        <v>1952992.8</v>
      </c>
    </row>
    <row r="81" spans="1:29" x14ac:dyDescent="0.25">
      <c r="A81" s="2">
        <f>Results!$D$3</f>
        <v>30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0.67555082583775705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6.111754932849689E-2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1.5942401424129251E-2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0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1.1731300573705786E-2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8.447035942818315E-2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2.5479702630168313E-2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1.1070887429898252E-4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8.9820964827558192E-2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3.5776187075702466E-2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0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1.4583233836917993E-2</v>
      </c>
      <c r="AB81" s="2">
        <f>SUMIFS(PERSALDATA!$G$2:$G$20871,PERSALDATA!$A$2:$A$20871,WORKING!A81,PERSALDATA!$D$2:$D$20871,WORKING!B81,PERSALDATA!$E$2:$E$20871,WORKING!C81,PERSALDATA!$F$2:$F$20871,"S&amp;W: BASIC SALARY (RES)")</f>
        <v>8</v>
      </c>
      <c r="AC81" s="2">
        <f>SUMIFS(PERSALDATA!$H$2:$H$20871,PERSALDATA!$A$2:$A$20871,WORKING!A81,PERSALDATA!$D$2:$D$20871,WORKING!B81,PERSALDATA!$E$2:$E$20871,WORKING!C81)</f>
        <v>5687348.9500000002</v>
      </c>
    </row>
    <row r="82" spans="1:29" x14ac:dyDescent="0.25">
      <c r="A82" s="2">
        <f>Results!$D$3</f>
        <v>30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0.71273976309534648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2.4513252936512089E-2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1.4488715869560988E-2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1.1617481495410138E-4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9.6067890335119997E-3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9.2655917037437308E-2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1.8883550965595169E-2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9.5142567543450582E-5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0.1251897627253416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0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1.7109309541968308E-3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1.4637140287940753E-2</v>
      </c>
      <c r="AB82" s="2">
        <f>SUMIFS(PERSALDATA!$G$2:$G$20871,PERSALDATA!$A$2:$A$20871,WORKING!A82,PERSALDATA!$D$2:$D$20871,WORKING!B82,PERSALDATA!$E$2:$E$20871,WORKING!C82,PERSALDATA!$F$2:$F$20871,"S&amp;W: BASIC SALARY (RES)")</f>
        <v>16</v>
      </c>
      <c r="AC82" s="2">
        <f>SUMIFS(PERSALDATA!$H$2:$H$20871,PERSALDATA!$A$2:$A$20871,WORKING!A82,PERSALDATA!$D$2:$D$20871,WORKING!B82,PERSALDATA!$E$2:$E$20871,WORKING!C82)</f>
        <v>12071463.17</v>
      </c>
    </row>
    <row r="83" spans="1:29" x14ac:dyDescent="0.25">
      <c r="A83" s="2">
        <f>Results!$D$3</f>
        <v>30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0.63018358265325547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3.7253222853706913E-2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1.4953013894995461E-2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8.0354603873666053E-3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8.1923668221662721E-2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7.4358750214831085E-3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7.626540968196434E-5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0.22013891155784782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0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1.4654028904619339E-2</v>
      </c>
      <c r="AB83" s="2">
        <f>SUMIFS(PERSALDATA!$G$2:$G$20871,PERSALDATA!$A$2:$A$20871,WORKING!A83,PERSALDATA!$D$2:$D$20871,WORKING!B83,PERSALDATA!$E$2:$E$20871,WORKING!C83,PERSALDATA!$F$2:$F$20871,"S&amp;W: BASIC SALARY (RES)")</f>
        <v>15</v>
      </c>
      <c r="AC83" s="2">
        <f>SUMIFS(PERSALDATA!$H$2:$H$20871,PERSALDATA!$A$2:$A$20871,WORKING!A83,PERSALDATA!$D$2:$D$20871,WORKING!B83,PERSALDATA!$E$2:$E$20871,WORKING!C83)</f>
        <v>12383857.949999999</v>
      </c>
    </row>
    <row r="84" spans="1:29" x14ac:dyDescent="0.25">
      <c r="A84" s="2">
        <f>Results!$D$3</f>
        <v>30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0.62853463733243786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5.2377886444369803E-2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2.4331206995878932E-2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8.4536810605295512E-3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8.1709366161042754E-2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3.15664896613604E-2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6.1896339821522475E-5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0.17296483600455942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0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1.4507298234056554E-2</v>
      </c>
      <c r="AB84" s="2">
        <f>SUMIFS(PERSALDATA!$G$2:$G$20871,PERSALDATA!$A$2:$A$20871,WORKING!A84,PERSALDATA!$D$2:$D$20871,WORKING!B84,PERSALDATA!$E$2:$E$20871,WORKING!C84,PERSALDATA!$F$2:$F$20871,"S&amp;W: BASIC SALARY (RES)")</f>
        <v>4</v>
      </c>
      <c r="AC84" s="2">
        <f>SUMIFS(PERSALDATA!$H$2:$H$20871,PERSALDATA!$A$2:$A$20871,WORKING!A84,PERSALDATA!$D$2:$D$20871,WORKING!B84,PERSALDATA!$E$2:$E$20871,WORKING!C84)</f>
        <v>4521107.3999999994</v>
      </c>
    </row>
    <row r="85" spans="1:29" x14ac:dyDescent="0.25">
      <c r="A85" s="2">
        <f>Results!$D$3</f>
        <v>30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0.59996696837340069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0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0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1.4055004441286758E-2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7.7995589157865461E-2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5.5178906325051717E-5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0.30792725912112218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1.4788347249785824E-2</v>
      </c>
      <c r="AB85" s="2">
        <f>SUMIFS(PERSALDATA!$G$2:$G$20871,PERSALDATA!$A$2:$A$20871,WORKING!A85,PERSALDATA!$D$2:$D$20871,WORKING!B85,PERSALDATA!$E$2:$E$20871,WORKING!C85,PERSALDATA!$F$2:$F$20871,"S&amp;W: BASIC SALARY (RES)")</f>
        <v>1</v>
      </c>
      <c r="AC85" s="2">
        <f>SUMIFS(PERSALDATA!$H$2:$H$20871,PERSALDATA!$A$2:$A$20871,WORKING!A85,PERSALDATA!$D$2:$D$20871,WORKING!B85,PERSALDATA!$E$2:$E$20871,WORKING!C85)</f>
        <v>1267875.7999999998</v>
      </c>
    </row>
    <row r="86" spans="1:29" x14ac:dyDescent="0.25">
      <c r="A86" s="2">
        <f>Results!$D$3</f>
        <v>30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30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30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30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30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30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30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30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30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30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30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30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30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30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30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30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30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30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30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30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30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30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30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30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30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30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30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30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30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30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30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30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30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30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30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30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30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30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30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30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30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30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30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30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30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30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30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30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30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30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30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30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30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30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30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30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30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30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30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30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30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30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30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30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30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30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30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30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30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30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30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30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30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30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30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30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30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30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30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30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30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30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30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30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30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30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30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30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30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30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30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30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30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30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30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30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30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30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30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30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30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30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30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30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30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30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30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30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30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30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30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30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30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30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30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30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30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30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30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30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30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30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30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30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30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30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30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30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30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30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30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30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30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30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30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30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30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30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30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30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30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30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30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30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30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30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30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30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30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30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30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30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30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30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30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30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30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30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30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30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30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30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30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30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30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30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30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30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30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30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30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30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30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30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30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30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30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30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30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30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30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30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30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30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30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30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30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30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30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30</v>
      </c>
      <c r="E3" s="74" t="str">
        <f>INDEX(MAPs!$I$7:$J$54,MATCH(Results!$D$3,MAPs!$I$7:$I$54,0),2)</f>
        <v>Science And Technology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173.6461824953445</v>
      </c>
      <c r="N9" s="148">
        <f>IFERROR(SUMIFS('Employee Profile (2)'!C$4:C$50,'Employee Profile (2)'!$B$4:$B$50,Results!$D$3),"")</f>
        <v>0.3500931098696462</v>
      </c>
      <c r="O9" s="150" t="s">
        <v>620</v>
      </c>
      <c r="P9" s="143">
        <f>IFERROR(INDEX('Employee Profile (2)'!$AC$4:$AC$50,MATCH(Results!$D$3,'Employee Profile (2)'!$B$4:$B$50,0))*$Q9,"")</f>
        <v>348.21601489757916</v>
      </c>
      <c r="Q9" s="148">
        <f>IFERROR(SUMIFS('Employee Profile (2)'!J$4:J$50,'Employee Profile (2)'!$B$4:$B$50,Results!$D$3),"")</f>
        <v>0.702048417132216</v>
      </c>
      <c r="R9" s="150" t="s">
        <v>627</v>
      </c>
      <c r="S9" s="144">
        <f>IFERROR(INDEX('Employee Profile (2)'!$AC$4:$AC$50,MATCH(Results!$D$3,'Employee Profile (2)'!$B$4:$B$50,0))*$T9,"")</f>
        <v>14.778398510242086</v>
      </c>
      <c r="T9" s="147">
        <f>IFERROR(SUMIFS('Employee Profile (2)'!N$4:N$50,'Employee Profile (2)'!$B$4:$B$50,Results!$D$3),"")</f>
        <v>2.9795158286778398E-2</v>
      </c>
      <c r="U9" s="150" t="s">
        <v>632</v>
      </c>
      <c r="V9" s="144">
        <f>IFERROR(INDEX('Employee Profile (2)'!$AC$4:$AC$50,MATCH(Results!$D$3,'Employee Profile (2)'!$B$4:$B$50,0))*$W9,"")</f>
        <v>270.6294227188082</v>
      </c>
      <c r="W9" s="147">
        <f>IFERROR(SUMIFS('Employee Profile (2)'!S$4:S$50,'Employee Profile (2)'!$B$4:$B$50,Results!$D$3),"")</f>
        <v>0.54562383612662946</v>
      </c>
      <c r="X9" s="150" t="s">
        <v>635</v>
      </c>
      <c r="Y9" s="144">
        <f>IFERROR(INDEX('Employee Profile (2)'!$AC$4:$AC$50,MATCH(Results!$D$3,'Employee Profile (2)'!$B$4:$B$50,0))*$Z9,"")</f>
        <v>384.23836126629419</v>
      </c>
      <c r="Z9" s="147">
        <f>IFERROR(SUMIFS('Employee Profile (2)'!V$4:V$50,'Employee Profile (2)'!$B$4:$B$50,Results!$D$3),"")</f>
        <v>0.77467411545623832</v>
      </c>
      <c r="AA9" s="150" t="s">
        <v>675</v>
      </c>
      <c r="AB9" s="144">
        <f>IFERROR(SUMIFS('Employee Profile (2)'!$AD$4:$AD$50,'Employee Profile (2)'!$B$4:$B$50,Results!$D$3),"")</f>
        <v>290</v>
      </c>
      <c r="AC9" s="147">
        <f>IFERROR(SUMIFS('Employee Profile (2)'!$AE$4:$AE$50,'Employee Profile (2)'!$B$4:$B$50,Results!$D$3),"")</f>
        <v>0.58467741935483875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241.072625698324</v>
      </c>
      <c r="N10" s="148">
        <f>IFERROR(SUMIFS('Employee Profile (2)'!D$4:D$50,'Employee Profile (2)'!$B$4:$B$50,Results!$D$3),"")</f>
        <v>0.48603351955307261</v>
      </c>
      <c r="O10" s="150" t="s">
        <v>621</v>
      </c>
      <c r="P10" s="143">
        <f>IFERROR(INDEX('Employee Profile (2)'!$AC$4:$AC$50,MATCH(Results!$D$3,'Employee Profile (2)'!$B$4:$B$50,0))*$Q10,"")</f>
        <v>119.15083798882681</v>
      </c>
      <c r="Q10" s="148">
        <f>IFERROR(SUMIFS('Employee Profile (2)'!K$4:K$50,'Employee Profile (2)'!$B$4:$B$50,Results!$D$3),"")</f>
        <v>0.24022346368715083</v>
      </c>
      <c r="R10" s="150" t="s">
        <v>628</v>
      </c>
      <c r="S10" s="144">
        <f>IFERROR(INDEX('Employee Profile (2)'!$AC$4:$AC$50,MATCH(Results!$D$3,'Employee Profile (2)'!$B$4:$B$50,0))*$T10,"")</f>
        <v>65.57914338919926</v>
      </c>
      <c r="T10" s="147">
        <f>IFERROR(SUMIFS('Employee Profile (2)'!O$4:O$50,'Employee Profile (2)'!$B$4:$B$50,Results!$D$3),"")</f>
        <v>0.13221601489757914</v>
      </c>
      <c r="U10" s="150" t="s">
        <v>633</v>
      </c>
      <c r="V10" s="144">
        <f>IFERROR(INDEX('Employee Profile (2)'!$AC$4:$AC$50,MATCH(Results!$D$3,'Employee Profile (2)'!$B$4:$B$50,0))*$W10,"")</f>
        <v>187.50093109869647</v>
      </c>
      <c r="W10" s="147">
        <f>IFERROR(SUMIFS('Employee Profile (2)'!T$4:T$50,'Employee Profile (2)'!$B$4:$B$50,Results!$D$3),"")</f>
        <v>0.37802607076350092</v>
      </c>
      <c r="X10" s="150" t="s">
        <v>636</v>
      </c>
      <c r="Y10" s="144">
        <f>IFERROR(INDEX('Employee Profile (2)'!$AC$4:$AC$50,MATCH(Results!$D$3,'Employee Profile (2)'!$B$4:$B$50,0))*$Z10,"")</f>
        <v>20.320297951582866</v>
      </c>
      <c r="Z10" s="147">
        <f>IFERROR(SUMIFS('Employee Profile (2)'!W$4:W$50,'Employee Profile (2)'!$B$4:$B$50,Results!$D$3),"")</f>
        <v>4.0968342644320296E-2</v>
      </c>
      <c r="AA10" s="150" t="s">
        <v>676</v>
      </c>
      <c r="AB10" s="144">
        <f>IFERROR(INDEX('Employee Profile (2)'!$AC$4:$AC$50,MATCH(Results!$D$3,'Employee Profile (2)'!$B$4:$B$50))-$AB$9,"")</f>
        <v>206</v>
      </c>
      <c r="AC10" s="147">
        <f>IFERROR(100%-$AC$9,"")</f>
        <v>0.41532258064516125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21</v>
      </c>
      <c r="H11" s="158">
        <v>18</v>
      </c>
      <c r="I11" s="158">
        <v>17</v>
      </c>
      <c r="J11" s="158">
        <v>16</v>
      </c>
      <c r="L11" s="150" t="s">
        <v>658</v>
      </c>
      <c r="M11" s="143">
        <f>IFERROR(INDEX('Employee Profile (2)'!$AC$4:$AC$50,MATCH(Results!$D$3,'Employee Profile (2)'!$B$4:$B$50,0))*$N11,"")</f>
        <v>22.16759776536313</v>
      </c>
      <c r="N11" s="148">
        <f>IFERROR(SUMIFS('Employee Profile (2)'!E$4:E$50,'Employee Profile (2)'!$B$4:$B$50,Results!$D$3),"")</f>
        <v>4.4692737430167599E-2</v>
      </c>
      <c r="O11" s="150" t="s">
        <v>622</v>
      </c>
      <c r="P11" s="143">
        <f>IFERROR(INDEX('Employee Profile (2)'!$AC$4:$AC$50,MATCH(Results!$D$3,'Employee Profile (2)'!$B$4:$B$50,0))*$Q11,"")</f>
        <v>26.785847299813781</v>
      </c>
      <c r="Q11" s="148">
        <f>IFERROR(SUMIFS('Employee Profile (2)'!L$4:L$50,'Employee Profile (2)'!$B$4:$B$50,Results!$D$3),"")</f>
        <v>5.4003724394785846E-2</v>
      </c>
      <c r="R11" s="150" t="s">
        <v>629</v>
      </c>
      <c r="S11" s="144">
        <f>IFERROR(INDEX('Employee Profile (2)'!$AC$4:$AC$50,MATCH(Results!$D$3,'Employee Profile (2)'!$B$4:$B$50,0))*$T11,"")</f>
        <v>244.76722532588457</v>
      </c>
      <c r="T11" s="147">
        <f>IFERROR(SUMIFS('Employee Profile (2)'!P$4:P$50,'Employee Profile (2)'!$B$4:$B$50,Results!$D$3),"")</f>
        <v>0.49348230912476726</v>
      </c>
      <c r="U11" s="150" t="s">
        <v>53</v>
      </c>
      <c r="V11" s="144">
        <f>IFERROR(INDEX('Employee Profile (2)'!$AC$4:$AC$50,MATCH(Results!$D$3,'Employee Profile (2)'!$B$4:$B$50,0))*$W11,"")</f>
        <v>37.869646182495345</v>
      </c>
      <c r="W11" s="147">
        <f>IFERROR(SUMIFS('Employee Profile (2)'!U$4:U$50,'Employee Profile (2)'!$B$4:$B$50,Results!$D$3),"")</f>
        <v>7.6350093109869649E-2</v>
      </c>
      <c r="X11" s="150" t="s">
        <v>637</v>
      </c>
      <c r="Y11" s="144">
        <f>IFERROR(INDEX('Employee Profile (2)'!$AC$4:$AC$50,MATCH(Results!$D$3,'Employee Profile (2)'!$B$4:$B$50,0))*$Z11,"")</f>
        <v>16.625698324022345</v>
      </c>
      <c r="Z11" s="147">
        <f>IFERROR(SUMIFS('Employee Profile (2)'!X$4:X$50,'Employee Profile (2)'!$B$4:$B$50,Results!$D$3),"")</f>
        <v>3.3519553072625698E-2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12.931098696461826</v>
      </c>
      <c r="N12" s="148">
        <f>IFERROR(SUMIFS('Employee Profile (2)'!F$4:F$50,'Employee Profile (2)'!$B$4:$B$50,Results!$D$3),"")</f>
        <v>2.6070763500931099E-2</v>
      </c>
      <c r="O12" s="150" t="s">
        <v>623</v>
      </c>
      <c r="P12" s="143">
        <f>IFERROR(INDEX('Employee Profile (2)'!$AC$4:$AC$50,MATCH(Results!$D$3,'Employee Profile (2)'!$B$4:$B$50,0))*$Q12,"")</f>
        <v>1.8472998137802608</v>
      </c>
      <c r="Q12" s="148">
        <f>IFERROR(SUMIFS('Employee Profile (2)'!M$4:M$50,'Employee Profile (2)'!$B$4:$B$50,Results!$D$3),"")</f>
        <v>3.7243947858472998E-3</v>
      </c>
      <c r="R12" s="150" t="s">
        <v>630</v>
      </c>
      <c r="S12" s="144">
        <f>IFERROR(INDEX('Employee Profile (2)'!$AC$4:$AC$50,MATCH(Results!$D$3,'Employee Profile (2)'!$B$4:$B$50,0))*$T12,"")</f>
        <v>29.556797020484172</v>
      </c>
      <c r="T12" s="147">
        <f>IFERROR(SUMIFS('Employee Profile (2)'!Q$4:Q$50,'Employee Profile (2)'!$B$4:$B$50,Results!$D$3),"")</f>
        <v>5.9590316573556797E-2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36.945996275605218</v>
      </c>
      <c r="Z12" s="147">
        <f>IFERROR(SUMIFS('Employee Profile (2)'!Y$4:Y$50,'Employee Profile (2)'!$B$4:$B$50,Results!$D$3),"")</f>
        <v>7.4487895716946001E-2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8.3128491620111724</v>
      </c>
      <c r="N13" s="148">
        <f>IFERROR(SUMIFS('Employee Profile (2)'!G$4:G$50,'Employee Profile (2)'!$B$4:$B$50,Results!$D$3),"")</f>
        <v>1.6759776536312849E-2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141.31843575418992</v>
      </c>
      <c r="T13" s="147">
        <f>IFERROR(SUMIFS('Employee Profile (2)'!R$4:R$50,'Employee Profile (2)'!$B$4:$B$50,Results!$D$3),"")</f>
        <v>0.28491620111731841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37.869646182495345</v>
      </c>
      <c r="Z13" s="147">
        <f>IFERROR(SUMIFS('Employee Profile (2)'!Z$4:Z$50,'Employee Profile (2)'!$B$4:$B$50,Results!$D$3),"")</f>
        <v>7.6350093109869649E-2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1.8472998137802608</v>
      </c>
      <c r="N14" s="148">
        <f>IFERROR(SUMIFS('Employee Profile (2)'!H$4:H$50,'Employee Profile (2)'!$B$4:$B$50,Results!$D$3),"")</f>
        <v>3.7243947858472998E-3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21</v>
      </c>
      <c r="H15" s="112">
        <f t="shared" ref="H15:J15" si="0">SUM(H9:H14)</f>
        <v>18</v>
      </c>
      <c r="I15" s="112">
        <f t="shared" si="0"/>
        <v>17</v>
      </c>
      <c r="J15" s="112">
        <f t="shared" si="0"/>
        <v>16</v>
      </c>
      <c r="L15" s="150" t="s">
        <v>53</v>
      </c>
      <c r="M15" s="143">
        <f>IFERROR(INDEX('Employee Profile (2)'!$AC$4:$AC$50,MATCH(Results!$D$3,'Employee Profile (2)'!$B$4:$B$50,0))*$N15,"")</f>
        <v>36.022346368715084</v>
      </c>
      <c r="N15" s="148">
        <f>IFERROR(SUMIFS('Employee Profile (2)'!I$4:I$50,'Employee Profile (2)'!$B$4:$B$50,Results!$D$3),"")</f>
        <v>7.2625698324022353E-2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21</v>
      </c>
      <c r="H16" s="82">
        <f>SUMIFS($W$64:$W$509,$C$64:$C$509,"Total")</f>
        <v>18</v>
      </c>
      <c r="I16" s="82">
        <f>SUMIFS($AE$64:$AE$509,$C$64:$C$509,"Total")</f>
        <v>17</v>
      </c>
      <c r="J16" s="82">
        <f>SUMIFS($AM$64:$AM$509,$C$64:$C$509,"Total")</f>
        <v>16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282</v>
      </c>
      <c r="G29" s="87">
        <f t="shared" ref="G29:G44" si="4">SUMIFS($K$64:$K$509,$A$64:$A$509,B29,$C$64:$C$509,"Total")</f>
        <v>538.09784465367011</v>
      </c>
      <c r="H29" s="83">
        <f t="shared" ref="H29:H44" si="5">SUMIFS($J$64:$J$509,$A$64:$A$509,B29,$C$64:$C$509,"Total")</f>
        <v>151743.59219233497</v>
      </c>
      <c r="I29" s="21">
        <f t="shared" ref="I29:I44" si="6">-SUMIFS($O$64:$O$509,$A$64:$A$509,$B29,$C$64:$C$509,"Total")+SUMIFS($N$64:$N$509,$A$64:$A$509,$B29,$C$64:$C$509,"Total")</f>
        <v>-11</v>
      </c>
      <c r="J29" s="88">
        <f t="shared" ref="J29:J44" si="7">SUMIFS($P$64:$P$509,$A$64:$A$509,$B29,$C$64:$C$509,"Total")</f>
        <v>271</v>
      </c>
      <c r="K29" s="88">
        <f t="shared" ref="K29:K44" si="8">SUMIFS($M$64:$M$509,$A$64:$A$509,$B29,$C$64:$C$509,"Total")</f>
        <v>576.84848752547782</v>
      </c>
      <c r="L29" s="88">
        <f t="shared" ref="L29:L44" si="9">SUMIFS($R$64:$R$509,$A$64:$A$509,$B29,$C$64:$C$509,"Total")+SUMIFS($Q$64:$Q$509,$A$64:$A$509,$B29,$C$64:$C$509,"Total")</f>
        <v>-6631.592953092264</v>
      </c>
      <c r="M29" s="88">
        <f t="shared" ref="M29:M44" si="10">SUMIFS($S$64:$S$509,$A$64:$A$509,$B29,$C$64:$C$509,"Total")</f>
        <v>156325.94011940449</v>
      </c>
      <c r="N29" s="88">
        <f t="shared" ref="N29:N44" si="11">SUMIFS($S$64:$S$509,$A$64:$A$509,$B29,$C$64:$C$509,"Compensation Budget")</f>
        <v>149820</v>
      </c>
      <c r="O29" s="89">
        <f t="shared" ref="O29:O44" si="12">SUMIFS($S$64:$S$509,$A$64:$A$509,$B29,$C$64:$C$509,"Under/(Over)")</f>
        <v>-6505.9401194044913</v>
      </c>
      <c r="P29" s="21">
        <f t="shared" ref="P29:P44" si="13">-SUMIFS($W$64:$W$509,$A$64:$A$509,$B29,$C$64:$C$509,"Total")+SUMIFS($V$64:$V$509,$A$64:$A$509,$B29,$C$64:$C$509,"Total")</f>
        <v>-11</v>
      </c>
      <c r="Q29" s="88">
        <f t="shared" ref="Q29:Q44" si="14">SUMIFS($X$64:$X$509,$A$64:$A$509,$B29,$C$64:$C$509,"Total")</f>
        <v>260</v>
      </c>
      <c r="R29" s="88">
        <f t="shared" ref="R29:R44" si="15">SUMIFS($U$64:$U$509,$A$64:$A$509,$B29,$C$64:$C$509,"Total")</f>
        <v>622.85456157913768</v>
      </c>
      <c r="S29" s="88">
        <f t="shared" ref="S29:S44" si="16">SUMIFS($Z$64:$Z$509,$A$64:$A$509,$B29,$C$64:$C$509,"Total")+SUMIFS($Y$64:$Y$509,$A$64:$A$509,$B29,$C$64:$C$509,"Total")</f>
        <v>-7160.8527616363499</v>
      </c>
      <c r="T29" s="88">
        <f t="shared" ref="T29:T44" si="17">SUMIFS($AA$64:$AA$509,$A$64:$A$509,$B29,$C$64:$C$509,"Total")</f>
        <v>161942.1860105758</v>
      </c>
      <c r="U29" s="88">
        <f t="shared" ref="U29:U44" si="18">SUMIFS($AA$64:$AA$509,$A$64:$A$509,$B29,$C$64:$C$509,"Compensation Budget")</f>
        <v>154426</v>
      </c>
      <c r="V29" s="89">
        <f t="shared" ref="V29:V44" si="19">SUMIFS($AA$64:$AA$509,$A$64:$A$509,$B29,$C$64:$C$509,"Under/(Over)")</f>
        <v>-7516.1860105757951</v>
      </c>
      <c r="W29" s="21">
        <f t="shared" ref="W29:W44" si="20">-SUMIFS($AE$64:$AE$509,$A$64:$A$509,$B29,$C$64:$C$509,"Total")+SUMIFS($AD$64:$AD$509,$A$64:$A$509,$B29,$C$64:$C$509,"Total")</f>
        <v>-11</v>
      </c>
      <c r="X29" s="88">
        <f t="shared" ref="X29:X44" si="21">SUMIFS($AF$64:$AF$509,$A$64:$A$509,$B29,$C$64:$C$509,"Total")</f>
        <v>249</v>
      </c>
      <c r="Y29" s="88">
        <f t="shared" ref="Y29:Y44" si="22">SUMIFS($AC$64:$AC$509,$A$64:$A$509,$B29,$C$64:$C$509,"Total")</f>
        <v>671.91178513343698</v>
      </c>
      <c r="Z29" s="88">
        <f t="shared" ref="Z29:Z44" si="23">SUMIFS($AH$64:$AH$509,$A$64:$A$509,$B29,$C$64:$C$509,"Total")+SUMIFS($AG$64:$AG$509,$A$64:$A$509,$B29,$C$64:$C$509,"Total")</f>
        <v>-7725.2442889069771</v>
      </c>
      <c r="AA29" s="88">
        <f t="shared" ref="AA29:AA44" si="24">SUMIFS($AI$64:$AI$509,$A$64:$A$509,$B29,$C$64:$C$509,"Total")</f>
        <v>167306.03449822581</v>
      </c>
      <c r="AB29" s="88">
        <f t="shared" ref="AB29:AB44" si="25">SUMIFS($AI$64:$AI$509,$A$64:$A$509,$B29,$C$64:$C$509,"Compensation Budget")</f>
        <v>160413</v>
      </c>
      <c r="AC29" s="89">
        <f t="shared" ref="AC29:AC44" si="26">SUMIFS($AI$64:$AI$509,$A$64:$A$509,$B29,$C$64:$C$509,"Under/(Over)")</f>
        <v>-6893.0344982258102</v>
      </c>
      <c r="AD29" s="21">
        <f t="shared" ref="AD29:AD44" si="27">-SUMIFS($AM$64:$AM$509,$A$64:$A$509,$B29,$C$64:$C$509,"Total")+SUMIFS($AL$64:$AL$509,$A$64:$A$509,$B29,$C$64:$C$509,"Total")</f>
        <v>-11</v>
      </c>
      <c r="AE29" s="88">
        <f t="shared" ref="AE29:AE44" si="28">SUMIFS($AN$64:$AN$509,$A$64:$A$509,$B29,$C$64:$C$509,"Total")</f>
        <v>238</v>
      </c>
      <c r="AF29" s="88">
        <f t="shared" ref="AF29:AF44" si="29">SUMIFS($AK$64:$AK$509,$A$64:$A$509,$B29,$C$64:$C$509,"Total")</f>
        <v>723.48596673387067</v>
      </c>
      <c r="AG29" s="88">
        <f t="shared" ref="AG29:AG44" si="30">SUMIFS($AP$64:$AP$509,$A$64:$A$509,$B29,$C$64:$C$509,"Total")+SUMIFS($AO$64:$AO$509,$A$64:$A$509,$B29,$C$64:$C$509,"Total")</f>
        <v>-8318.6155542939814</v>
      </c>
      <c r="AH29" s="88">
        <f t="shared" ref="AH29:AH44" si="31">SUMIFS($AQ$64:$AQ$509,$A$64:$A$509,$B29,$C$64:$C$509,"Total")</f>
        <v>172189.66008266123</v>
      </c>
      <c r="AI29" s="88">
        <f t="shared" ref="AI29:AI44" si="32">SUMIFS($AQ$64:$AQ$509,$A$64:$A$509,$B29,$C$64:$C$509,"Compensation Budget")</f>
        <v>172604.38800000001</v>
      </c>
      <c r="AJ29" s="89">
        <f t="shared" ref="AJ29:AJ44" si="33">SUMIFS($AQ$64:$AQ$509,$A$64:$A$509,$B29,$C$64:$C$509,"Under/(Over)")</f>
        <v>414.72791733877966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Technology Innovation</v>
      </c>
      <c r="D30" s="222">
        <f t="shared" si="2"/>
        <v>0</v>
      </c>
      <c r="E30" s="223">
        <f t="shared" si="2"/>
        <v>0</v>
      </c>
      <c r="F30" s="80">
        <f t="shared" si="3"/>
        <v>55</v>
      </c>
      <c r="G30" s="155">
        <f t="shared" si="4"/>
        <v>724.43812944938145</v>
      </c>
      <c r="H30" s="155">
        <f t="shared" si="5"/>
        <v>39844.097119715982</v>
      </c>
      <c r="I30" s="23">
        <f t="shared" si="6"/>
        <v>-1</v>
      </c>
      <c r="J30" s="22">
        <f t="shared" si="7"/>
        <v>54</v>
      </c>
      <c r="K30" s="22">
        <f t="shared" si="8"/>
        <v>770.33591440823409</v>
      </c>
      <c r="L30" s="22">
        <f t="shared" si="9"/>
        <v>-370.68531669658159</v>
      </c>
      <c r="M30" s="22">
        <f t="shared" si="10"/>
        <v>41598.139378044638</v>
      </c>
      <c r="N30" s="22">
        <f t="shared" si="11"/>
        <v>43543</v>
      </c>
      <c r="O30" s="91">
        <f t="shared" si="12"/>
        <v>1944.8606219553621</v>
      </c>
      <c r="P30" s="23">
        <f t="shared" si="13"/>
        <v>-1</v>
      </c>
      <c r="Q30" s="22">
        <f t="shared" si="14"/>
        <v>53</v>
      </c>
      <c r="R30" s="22">
        <f t="shared" si="15"/>
        <v>828.2790086007999</v>
      </c>
      <c r="S30" s="22">
        <f t="shared" si="16"/>
        <v>-396.64556566613152</v>
      </c>
      <c r="T30" s="22">
        <f t="shared" si="17"/>
        <v>43898.787455842394</v>
      </c>
      <c r="U30" s="22">
        <f t="shared" si="18"/>
        <v>44937</v>
      </c>
      <c r="V30" s="91">
        <f t="shared" si="19"/>
        <v>1038.2125441576063</v>
      </c>
      <c r="W30" s="23">
        <f t="shared" si="20"/>
        <v>-1</v>
      </c>
      <c r="X30" s="22">
        <f t="shared" si="21"/>
        <v>52</v>
      </c>
      <c r="Y30" s="22">
        <f t="shared" si="22"/>
        <v>889.9291189285982</v>
      </c>
      <c r="Z30" s="22">
        <f t="shared" si="23"/>
        <v>-424.02724628053693</v>
      </c>
      <c r="AA30" s="22">
        <f t="shared" si="24"/>
        <v>46276.314184287105</v>
      </c>
      <c r="AB30" s="22">
        <f t="shared" si="25"/>
        <v>46681</v>
      </c>
      <c r="AC30" s="91">
        <f t="shared" si="26"/>
        <v>404.68581571289542</v>
      </c>
      <c r="AD30" s="23">
        <f t="shared" si="27"/>
        <v>-1</v>
      </c>
      <c r="AE30" s="22">
        <f t="shared" si="28"/>
        <v>51</v>
      </c>
      <c r="AF30" s="22">
        <f t="shared" si="29"/>
        <v>954.57805615415998</v>
      </c>
      <c r="AG30" s="22">
        <f t="shared" si="30"/>
        <v>-452.45111522410588</v>
      </c>
      <c r="AH30" s="22">
        <f t="shared" si="31"/>
        <v>48683.480863862162</v>
      </c>
      <c r="AI30" s="22">
        <f t="shared" si="32"/>
        <v>50228.756000000001</v>
      </c>
      <c r="AJ30" s="91">
        <f t="shared" si="33"/>
        <v>1545.2751361378396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International Cooperation and Resources</v>
      </c>
      <c r="D31" s="222">
        <f t="shared" si="2"/>
        <v>0</v>
      </c>
      <c r="E31" s="223">
        <f t="shared" si="2"/>
        <v>0</v>
      </c>
      <c r="F31" s="80">
        <f t="shared" si="3"/>
        <v>59</v>
      </c>
      <c r="G31" s="155">
        <f t="shared" si="4"/>
        <v>699.58467516554276</v>
      </c>
      <c r="H31" s="155">
        <f t="shared" si="5"/>
        <v>41275.495834767025</v>
      </c>
      <c r="I31" s="23">
        <f t="shared" si="6"/>
        <v>-3</v>
      </c>
      <c r="J31" s="22">
        <f t="shared" si="7"/>
        <v>56</v>
      </c>
      <c r="K31" s="22">
        <f t="shared" si="8"/>
        <v>750.43792210810477</v>
      </c>
      <c r="L31" s="22">
        <f t="shared" si="9"/>
        <v>-2250.6647673994594</v>
      </c>
      <c r="M31" s="22">
        <f t="shared" si="10"/>
        <v>42024.52363805387</v>
      </c>
      <c r="N31" s="22">
        <f t="shared" si="11"/>
        <v>46150</v>
      </c>
      <c r="O31" s="91">
        <f t="shared" si="12"/>
        <v>4125.4763619461301</v>
      </c>
      <c r="P31" s="23">
        <f t="shared" si="13"/>
        <v>-3</v>
      </c>
      <c r="Q31" s="22">
        <f t="shared" si="14"/>
        <v>53</v>
      </c>
      <c r="R31" s="22">
        <f t="shared" si="15"/>
        <v>811.59155667395305</v>
      </c>
      <c r="S31" s="22">
        <f t="shared" si="16"/>
        <v>-2431.904620167772</v>
      </c>
      <c r="T31" s="22">
        <f t="shared" si="17"/>
        <v>43014.352503719514</v>
      </c>
      <c r="U31" s="22">
        <f t="shared" si="18"/>
        <v>47827</v>
      </c>
      <c r="V31" s="91">
        <f t="shared" si="19"/>
        <v>4812.6474962804859</v>
      </c>
      <c r="W31" s="23">
        <f t="shared" si="20"/>
        <v>-2</v>
      </c>
      <c r="X31" s="22">
        <f t="shared" si="21"/>
        <v>51</v>
      </c>
      <c r="Y31" s="22">
        <f t="shared" si="22"/>
        <v>869.3354589376421</v>
      </c>
      <c r="Z31" s="22">
        <f t="shared" si="23"/>
        <v>-2140.0361249728985</v>
      </c>
      <c r="AA31" s="22">
        <f t="shared" si="24"/>
        <v>44336.108405819745</v>
      </c>
      <c r="AB31" s="22">
        <f t="shared" si="25"/>
        <v>49679</v>
      </c>
      <c r="AC31" s="91">
        <f t="shared" si="26"/>
        <v>5342.8915941802552</v>
      </c>
      <c r="AD31" s="23">
        <f t="shared" si="27"/>
        <v>-2</v>
      </c>
      <c r="AE31" s="22">
        <f t="shared" si="28"/>
        <v>49</v>
      </c>
      <c r="AF31" s="22">
        <f t="shared" si="29"/>
        <v>928.89158898385983</v>
      </c>
      <c r="AG31" s="22">
        <f t="shared" si="30"/>
        <v>-2303.776416578613</v>
      </c>
      <c r="AH31" s="22">
        <f t="shared" si="31"/>
        <v>45515.687860209131</v>
      </c>
      <c r="AI31" s="22">
        <f t="shared" si="32"/>
        <v>53454.604000000007</v>
      </c>
      <c r="AJ31" s="91">
        <f t="shared" si="33"/>
        <v>7938.9161397908756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Research, Development and Support</v>
      </c>
      <c r="D32" s="222">
        <f t="shared" si="2"/>
        <v>0</v>
      </c>
      <c r="E32" s="223">
        <f t="shared" si="2"/>
        <v>0</v>
      </c>
      <c r="F32" s="80">
        <f t="shared" si="3"/>
        <v>47</v>
      </c>
      <c r="G32" s="155">
        <f t="shared" si="4"/>
        <v>662.063829787234</v>
      </c>
      <c r="H32" s="155">
        <f t="shared" si="5"/>
        <v>31117</v>
      </c>
      <c r="I32" s="23">
        <f t="shared" si="6"/>
        <v>-2</v>
      </c>
      <c r="J32" s="22">
        <f t="shared" si="7"/>
        <v>45</v>
      </c>
      <c r="K32" s="22">
        <f t="shared" si="8"/>
        <v>701.85814964669157</v>
      </c>
      <c r="L32" s="22">
        <f t="shared" si="9"/>
        <v>-1775.5588502253447</v>
      </c>
      <c r="M32" s="22">
        <f t="shared" si="10"/>
        <v>31583.616734101121</v>
      </c>
      <c r="N32" s="22">
        <f t="shared" si="11"/>
        <v>31805</v>
      </c>
      <c r="O32" s="91">
        <f t="shared" si="12"/>
        <v>221.38326589887947</v>
      </c>
      <c r="P32" s="23">
        <f t="shared" si="13"/>
        <v>-2</v>
      </c>
      <c r="Q32" s="22">
        <f t="shared" si="14"/>
        <v>43</v>
      </c>
      <c r="R32" s="22">
        <f t="shared" si="15"/>
        <v>749.62839922646378</v>
      </c>
      <c r="S32" s="22">
        <f t="shared" si="16"/>
        <v>-1916.6853133801856</v>
      </c>
      <c r="T32" s="22">
        <f t="shared" si="17"/>
        <v>32234.021166737941</v>
      </c>
      <c r="U32" s="22">
        <f t="shared" si="18"/>
        <v>32796</v>
      </c>
      <c r="V32" s="91">
        <f t="shared" si="19"/>
        <v>561.9788332620592</v>
      </c>
      <c r="W32" s="23">
        <f t="shared" si="20"/>
        <v>-2</v>
      </c>
      <c r="X32" s="22">
        <f t="shared" si="21"/>
        <v>41</v>
      </c>
      <c r="Y32" s="22">
        <f t="shared" si="22"/>
        <v>798.98414442154717</v>
      </c>
      <c r="Z32" s="22">
        <f t="shared" si="23"/>
        <v>-2067.124728015488</v>
      </c>
      <c r="AA32" s="22">
        <f t="shared" si="24"/>
        <v>32758.349921283436</v>
      </c>
      <c r="AB32" s="22">
        <f t="shared" si="25"/>
        <v>34065</v>
      </c>
      <c r="AC32" s="91">
        <f t="shared" si="26"/>
        <v>1306.6500787165642</v>
      </c>
      <c r="AD32" s="23">
        <f t="shared" si="27"/>
        <v>-1</v>
      </c>
      <c r="AE32" s="22">
        <f t="shared" si="28"/>
        <v>40</v>
      </c>
      <c r="AF32" s="22">
        <f t="shared" si="29"/>
        <v>862.53354084649504</v>
      </c>
      <c r="AG32" s="22">
        <f t="shared" si="30"/>
        <v>-828.8551263491297</v>
      </c>
      <c r="AH32" s="22">
        <f t="shared" si="31"/>
        <v>34501.341633859804</v>
      </c>
      <c r="AI32" s="22">
        <f t="shared" si="32"/>
        <v>36653.94</v>
      </c>
      <c r="AJ32" s="91">
        <f t="shared" si="33"/>
        <v>2152.5983661401988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Socio-Economic Innovation Partnerships</v>
      </c>
      <c r="D33" s="222">
        <f t="shared" si="2"/>
        <v>0</v>
      </c>
      <c r="E33" s="223">
        <f t="shared" si="2"/>
        <v>0</v>
      </c>
      <c r="F33" s="80">
        <f t="shared" si="3"/>
        <v>50</v>
      </c>
      <c r="G33" s="155">
        <f t="shared" si="4"/>
        <v>742.14</v>
      </c>
      <c r="H33" s="155">
        <f t="shared" si="5"/>
        <v>37107</v>
      </c>
      <c r="I33" s="23">
        <f t="shared" si="6"/>
        <v>-4</v>
      </c>
      <c r="J33" s="22">
        <f t="shared" si="7"/>
        <v>46</v>
      </c>
      <c r="K33" s="22">
        <f t="shared" si="8"/>
        <v>791.66785325328067</v>
      </c>
      <c r="L33" s="22">
        <f t="shared" si="9"/>
        <v>-3381.1878499358945</v>
      </c>
      <c r="M33" s="22">
        <f t="shared" si="10"/>
        <v>36416.721249650909</v>
      </c>
      <c r="N33" s="22">
        <f t="shared" si="11"/>
        <v>37838</v>
      </c>
      <c r="O33" s="91">
        <f t="shared" si="12"/>
        <v>1421.2787503490908</v>
      </c>
      <c r="P33" s="23">
        <f t="shared" si="13"/>
        <v>-1</v>
      </c>
      <c r="Q33" s="22">
        <f t="shared" si="14"/>
        <v>45</v>
      </c>
      <c r="R33" s="22">
        <f t="shared" si="15"/>
        <v>850.51531567650784</v>
      </c>
      <c r="S33" s="22">
        <f t="shared" si="16"/>
        <v>-1099.5341316900167</v>
      </c>
      <c r="T33" s="22">
        <f t="shared" si="17"/>
        <v>38273.189205442854</v>
      </c>
      <c r="U33" s="22">
        <f t="shared" si="18"/>
        <v>39050</v>
      </c>
      <c r="V33" s="91">
        <f t="shared" si="19"/>
        <v>776.81079455714644</v>
      </c>
      <c r="W33" s="23">
        <f t="shared" si="20"/>
        <v>-1</v>
      </c>
      <c r="X33" s="22">
        <f t="shared" si="21"/>
        <v>44</v>
      </c>
      <c r="Y33" s="22">
        <f t="shared" si="22"/>
        <v>912.87909642876468</v>
      </c>
      <c r="Z33" s="22">
        <f t="shared" si="23"/>
        <v>-1181.4698940990252</v>
      </c>
      <c r="AA33" s="22">
        <f t="shared" si="24"/>
        <v>40166.680242865645</v>
      </c>
      <c r="AB33" s="22">
        <f t="shared" si="25"/>
        <v>40566</v>
      </c>
      <c r="AC33" s="91">
        <f t="shared" si="26"/>
        <v>399.31975713435531</v>
      </c>
      <c r="AD33" s="23">
        <f t="shared" si="27"/>
        <v>-1</v>
      </c>
      <c r="AE33" s="22">
        <f t="shared" si="28"/>
        <v>43</v>
      </c>
      <c r="AF33" s="22">
        <f t="shared" si="29"/>
        <v>977.97599718228912</v>
      </c>
      <c r="AG33" s="22">
        <f t="shared" si="30"/>
        <v>-1267.113829797484</v>
      </c>
      <c r="AH33" s="22">
        <f t="shared" si="31"/>
        <v>42052.967878838434</v>
      </c>
      <c r="AI33" s="22">
        <f t="shared" si="32"/>
        <v>43649.016000000003</v>
      </c>
      <c r="AJ33" s="91">
        <f t="shared" si="33"/>
        <v>1596.0481211615697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493</v>
      </c>
      <c r="G45" s="92">
        <f>IFERROR(H45/F45,0)</f>
        <v>610.72451348238928</v>
      </c>
      <c r="H45" s="92">
        <f>SUM(H29:H38)</f>
        <v>301087.18514681794</v>
      </c>
      <c r="I45" s="25">
        <f>SUM(I29:I38)</f>
        <v>-21</v>
      </c>
      <c r="J45" s="92">
        <f>SUM(J29:J38)</f>
        <v>472</v>
      </c>
      <c r="K45" s="92">
        <f>IFERROR(M45/J45,0)</f>
        <v>652.43419728655738</v>
      </c>
      <c r="L45" s="92">
        <f t="shared" ref="L45:Q45" si="34">SUM(L29:L38)</f>
        <v>-14409.689737349545</v>
      </c>
      <c r="M45" s="92">
        <f t="shared" si="34"/>
        <v>307948.94111925509</v>
      </c>
      <c r="N45" s="92">
        <f>INDEX('ENE17'!$C$2:$C$48,MATCH(Results!$D$3,'ENE17'!$A$2:$A$48,0))</f>
        <v>313793</v>
      </c>
      <c r="O45" s="129">
        <f>N45-M45</f>
        <v>5844.0588807449094</v>
      </c>
      <c r="P45" s="25">
        <f t="shared" si="34"/>
        <v>-18</v>
      </c>
      <c r="Q45" s="24">
        <f t="shared" si="34"/>
        <v>454</v>
      </c>
      <c r="R45" s="92">
        <f>IFERROR(T45/Q45,0)</f>
        <v>703.44171000510676</v>
      </c>
      <c r="S45" s="24">
        <f>SUM(S29:S38)</f>
        <v>-13005.622392540456</v>
      </c>
      <c r="T45" s="24">
        <f>SUM(T29:T38)</f>
        <v>319362.53634231846</v>
      </c>
      <c r="U45" s="207">
        <f>INDEX('ENE17'!$D$2:$D$48,MATCH(Results!$D$3,'ENE17'!$A$2:$A$48,0))</f>
        <v>315527</v>
      </c>
      <c r="V45" s="24">
        <f>U45-T45</f>
        <v>-3835.5363423184608</v>
      </c>
      <c r="W45" s="25">
        <f t="shared" ref="W45:X45" si="35">SUM(W29:W38)</f>
        <v>-17</v>
      </c>
      <c r="X45" s="24">
        <f t="shared" si="35"/>
        <v>437</v>
      </c>
      <c r="Y45" s="92">
        <f>IFERROR(AA45/X45,0)</f>
        <v>757.0789181978987</v>
      </c>
      <c r="Z45" s="24">
        <f t="shared" ref="Z45:AA45" si="36">SUM(Z29:Z38)</f>
        <v>-13537.902282274925</v>
      </c>
      <c r="AA45" s="24">
        <f t="shared" si="36"/>
        <v>330843.48725248175</v>
      </c>
      <c r="AB45" s="207">
        <f>INDEX('ENE17'!$E$2:$E$48,MATCH(Results!$D$3,'ENE17'!$A$2:$A$48,0))</f>
        <v>327690</v>
      </c>
      <c r="AC45" s="24">
        <f>AB45-AA45</f>
        <v>-3153.4872524817474</v>
      </c>
      <c r="AD45" s="25">
        <f t="shared" ref="AD45:AE45" si="37">SUM(AD29:AD38)</f>
        <v>-16</v>
      </c>
      <c r="AE45" s="24">
        <f t="shared" si="37"/>
        <v>421</v>
      </c>
      <c r="AF45" s="92">
        <f>IFERROR(AH45/AE45,0)</f>
        <v>814.59177748083312</v>
      </c>
      <c r="AG45" s="24">
        <f t="shared" ref="AG45:AH45" si="38">SUM(AG29:AG38)</f>
        <v>-13170.812042243317</v>
      </c>
      <c r="AH45" s="24">
        <f t="shared" si="38"/>
        <v>342943.13831943076</v>
      </c>
      <c r="AI45" s="207">
        <f>INDEX('ENE17'!$F$2:$F$48,MATCH(Results!$D$3,'ENE17'!$A$2:$A$48,0))</f>
        <v>352671</v>
      </c>
      <c r="AJ45" s="24">
        <f>AI45-AH45</f>
        <v>9727.8616805692436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103</v>
      </c>
      <c r="G51" s="193">
        <f>IFERROR(H51/F51,"")</f>
        <v>181.07109655579944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18650.322945247342</v>
      </c>
      <c r="I51" s="97">
        <f>SUMIFS($N$64:$N$509,$B$64:$B$509,$B51)-SUMIFS($O$64:$O$509,$B$64:$B$509,$B51)</f>
        <v>-3</v>
      </c>
      <c r="J51" s="80">
        <f>SUMIFS($P$64:$P$509,$B$64:$B$509,$B51)</f>
        <v>100</v>
      </c>
      <c r="K51" s="80">
        <f>IFERROR(M51/J51,0)</f>
        <v>194.83459530648844</v>
      </c>
      <c r="L51" s="80">
        <f>SUMIFS($R$64:$R$509,$B$64:$B$509,$B51)+SUMIFS($Q$64:$Q$509,$B$64:$B$509,$B51)</f>
        <v>-788.0466220955127</v>
      </c>
      <c r="M51" s="98">
        <f>SUMIFS($S$64:$S$509,$B$64:$B$509,$B51)</f>
        <v>19483.459530648845</v>
      </c>
      <c r="N51" s="80">
        <f>SUMIFS($V$64:$V$509,$B$64:$B$509,$B51)-SUMIFS($W$64:$W$509,$B$64:$B$509,$B51)</f>
        <v>-3</v>
      </c>
      <c r="O51" s="80">
        <f>SUMIFS($X$64:$X$509,$B$64:$B$509,$B51)</f>
        <v>97</v>
      </c>
      <c r="P51" s="80">
        <f>IFERROR(R51/O51,0)</f>
        <v>208.81492994984731</v>
      </c>
      <c r="Q51" s="80">
        <f>SUMIFS($Z$64:$Z$509,$B$64:$B$509,$B51)+SUMIFS($Y$64:$Y$509,$B$64:$B$509,$B51)</f>
        <v>-854.88505828758412</v>
      </c>
      <c r="R51" s="80">
        <f>SUMIFS($AA$64:$AA$509,$B$64:$B$509,$B51)</f>
        <v>20255.04820513519</v>
      </c>
      <c r="S51" s="97">
        <f>SUMIFS($AD$64:$AD$509,$B$64:$B$509,$B51)-SUMIFS($AE$64:$AE$509,$B$64:$B$509,$B51)</f>
        <v>-3</v>
      </c>
      <c r="T51" s="80">
        <f>SUMIFS($AF$64:$AF$509,$B$64:$B$509,$B51)</f>
        <v>94</v>
      </c>
      <c r="U51" s="80">
        <f>IFERROR(W51/T51,0)</f>
        <v>223.38465181017426</v>
      </c>
      <c r="V51" s="80">
        <f>SUMIFS($AH$64:$AH$509,$B$64:$B$509,$B51)+SUMIFS($AG$64:$AG$509,$B$64:$B$509,$B51)</f>
        <v>-926.5260186441742</v>
      </c>
      <c r="W51" s="98">
        <f>SUMIFS($AI$64:$AI$509,$B$64:$B$509,$B51)</f>
        <v>20998.157270156382</v>
      </c>
      <c r="X51" s="80">
        <f>SUMIFS($AL$64:$AL$509,$B$64:$B$509,$B51)-SUMIFS($AM$64:$AM$509,$B$64:$B$509,$B51)</f>
        <v>-3</v>
      </c>
      <c r="Y51" s="80">
        <f>SUMIFS($AN$64:$AN$509,$B$64:$B$509,$B51)</f>
        <v>91</v>
      </c>
      <c r="Z51" s="80">
        <f>IFERROR(AB51/Y51,0)</f>
        <v>238.27904966937402</v>
      </c>
      <c r="AA51" s="80">
        <f>SUMIFS($AP$64:$AP$509,$B$64:$B$509,$B51)+SUMIFS($AO$64:$AO$509,$B$64:$B$509,$B51)</f>
        <v>-1002.2926014994871</v>
      </c>
      <c r="AB51" s="98">
        <f>SUMIFS($AQ$64:$AQ$509,$B$64:$B$509,$B51)</f>
        <v>21683.393519913036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137</v>
      </c>
      <c r="G52" s="192">
        <f t="shared" ref="G52:G55" si="40">IFERROR(H52/F52,"")</f>
        <v>393.9997979747713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53977.972322543668</v>
      </c>
      <c r="I52" s="97">
        <f>SUMIFS($N$64:$N$509,$B$64:$B$509,$B52)-SUMIFS($O$64:$O$509,$B$64:$B$509,$B52)</f>
        <v>-6</v>
      </c>
      <c r="J52" s="80">
        <f>SUMIFS($P$64:$P$509,$B$64:$B$509,$B52)</f>
        <v>131</v>
      </c>
      <c r="K52" s="80">
        <f t="shared" ref="K52:K56" si="41">IFERROR(M52/J52,0)</f>
        <v>431.05225402561189</v>
      </c>
      <c r="L52" s="80">
        <f>SUMIFS($R$64:$R$509,$B$64:$B$509,$B52)+SUMIFS($Q$64:$Q$509,$B$64:$B$509,$B52)</f>
        <v>-2296.5988039746398</v>
      </c>
      <c r="M52" s="98">
        <f>SUMIFS($S$64:$S$509,$B$64:$B$509,$B52)</f>
        <v>56467.845277355154</v>
      </c>
      <c r="N52" s="80">
        <f>SUMIFS($V$64:$V$509,$B$64:$B$509,$B52)-SUMIFS($W$64:$W$509,$B$64:$B$509,$B52)</f>
        <v>-6</v>
      </c>
      <c r="O52" s="80">
        <f>SUMIFS($X$64:$X$509,$B$64:$B$509,$B52)</f>
        <v>125</v>
      </c>
      <c r="P52" s="80">
        <f t="shared" ref="P52:P55" si="42">IFERROR(R52/O52,0)</f>
        <v>470.07939092263962</v>
      </c>
      <c r="Q52" s="80">
        <f>SUMIFS($Z$64:$Z$509,$B$64:$B$509,$B52)+SUMIFS($Y$64:$Y$509,$B$64:$B$509,$B52)</f>
        <v>-2486.4557704024787</v>
      </c>
      <c r="R52" s="80">
        <f>SUMIFS($AA$64:$AA$509,$B$64:$B$509,$B52)</f>
        <v>58759.923865329954</v>
      </c>
      <c r="S52" s="97">
        <f>SUMIFS($AD$64:$AD$509,$B$64:$B$509,$B52)-SUMIFS($AE$64:$AE$509,$B$64:$B$509,$B52)</f>
        <v>-5</v>
      </c>
      <c r="T52" s="80">
        <f>SUMIFS($AF$64:$AF$509,$B$64:$B$509,$B52)</f>
        <v>120</v>
      </c>
      <c r="U52" s="80">
        <f t="shared" ref="U52:U55" si="43">IFERROR(W52/T52,0)</f>
        <v>512.28275608680781</v>
      </c>
      <c r="V52" s="80">
        <f>SUMIFS($AH$64:$AH$509,$B$64:$B$509,$B52)+SUMIFS($AG$64:$AG$509,$B$64:$B$509,$B52)</f>
        <v>-2204.2726654941384</v>
      </c>
      <c r="W52" s="98">
        <f>SUMIFS($AI$64:$AI$509,$B$64:$B$509,$B52)</f>
        <v>61473.930730416934</v>
      </c>
      <c r="X52" s="80">
        <f>SUMIFS($AL$64:$AL$509,$B$64:$B$509,$B52)-SUMIFS($AM$64:$AM$509,$B$64:$B$509,$B52)</f>
        <v>-5</v>
      </c>
      <c r="Y52" s="80">
        <f>SUMIFS($AN$64:$AN$509,$B$64:$B$509,$B52)</f>
        <v>115</v>
      </c>
      <c r="Z52" s="80">
        <f t="shared" ref="Z52:Z55" si="44">IFERROR(AB52/Y52,0)</f>
        <v>557.5821898653802</v>
      </c>
      <c r="AA52" s="80">
        <f>SUMIFS($AP$64:$AP$509,$B$64:$B$509,$B52)+SUMIFS($AO$64:$AO$509,$B$64:$B$509,$B52)</f>
        <v>-2378.8067788528601</v>
      </c>
      <c r="AB52" s="98">
        <f>SUMIFS($AQ$64:$AQ$509,$B$64:$B$509,$B52)</f>
        <v>64121.951834518724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139</v>
      </c>
      <c r="G53" s="192">
        <f t="shared" si="40"/>
        <v>727.86713361282716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101173.53157218298</v>
      </c>
      <c r="I53" s="97">
        <f>SUMIFS($N$64:$N$509,$B$64:$B$509,$B53)-SUMIFS($O$64:$O$509,$B$64:$B$509,$B53)</f>
        <v>-6</v>
      </c>
      <c r="J53" s="80">
        <f>SUMIFS($P$64:$P$509,$B$64:$B$509,$B53)</f>
        <v>133</v>
      </c>
      <c r="K53" s="80">
        <f t="shared" si="41"/>
        <v>795.61727072881638</v>
      </c>
      <c r="L53" s="80">
        <f>SUMIFS($R$64:$R$509,$B$64:$B$509,$B53)+SUMIFS($Q$64:$Q$509,$B$64:$B$509,$B53)</f>
        <v>-4408.764128444469</v>
      </c>
      <c r="M53" s="98">
        <f>SUMIFS($S$64:$S$509,$B$64:$B$509,$B53)</f>
        <v>105817.09700693258</v>
      </c>
      <c r="N53" s="80">
        <f>SUMIFS($V$64:$V$509,$B$64:$B$509,$B53)-SUMIFS($W$64:$W$509,$B$64:$B$509,$B53)</f>
        <v>-3</v>
      </c>
      <c r="O53" s="80">
        <f>SUMIFS($X$64:$X$509,$B$64:$B$509,$B53)</f>
        <v>130</v>
      </c>
      <c r="P53" s="80">
        <f t="shared" si="42"/>
        <v>864.68991040379842</v>
      </c>
      <c r="Q53" s="80">
        <f>SUMIFS($Z$64:$Z$509,$B$64:$B$509,$B53)+SUMIFS($Y$64:$Y$509,$B$64:$B$509,$B53)</f>
        <v>-2225.5469143375672</v>
      </c>
      <c r="R53" s="80">
        <f>SUMIFS($AA$64:$AA$509,$B$64:$B$509,$B53)</f>
        <v>112409.68835249379</v>
      </c>
      <c r="S53" s="97">
        <f>SUMIFS($AD$64:$AD$509,$B$64:$B$509,$B53)-SUMIFS($AE$64:$AE$509,$B$64:$B$509,$B53)</f>
        <v>-3</v>
      </c>
      <c r="T53" s="80">
        <f>SUMIFS($AF$64:$AF$509,$B$64:$B$509,$B53)</f>
        <v>127</v>
      </c>
      <c r="U53" s="80">
        <f t="shared" si="43"/>
        <v>938.95631213428965</v>
      </c>
      <c r="V53" s="80">
        <f>SUMIFS($AH$64:$AH$509,$B$64:$B$509,$B53)+SUMIFS($AG$64:$AG$509,$B$64:$B$509,$B53)</f>
        <v>-2413.9959890061018</v>
      </c>
      <c r="W53" s="98">
        <f>SUMIFS($AI$64:$AI$509,$B$64:$B$509,$B53)</f>
        <v>119247.45164105478</v>
      </c>
      <c r="X53" s="80">
        <f>SUMIFS($AL$64:$AL$509,$B$64:$B$509,$B53)-SUMIFS($AM$64:$AM$509,$B$64:$B$509,$B53)</f>
        <v>-3</v>
      </c>
      <c r="Y53" s="80">
        <f>SUMIFS($AN$64:$AN$509,$B$64:$B$509,$B53)</f>
        <v>124</v>
      </c>
      <c r="Z53" s="80">
        <f t="shared" si="44"/>
        <v>1017.7806922754025</v>
      </c>
      <c r="AA53" s="80">
        <f>SUMIFS($AP$64:$AP$509,$B$64:$B$509,$B53)+SUMIFS($AO$64:$AO$509,$B$64:$B$509,$B53)</f>
        <v>-2613.5032966357239</v>
      </c>
      <c r="AB53" s="98">
        <f>SUMIFS($AQ$64:$AQ$509,$B$64:$B$509,$B53)</f>
        <v>126204.80584214992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114</v>
      </c>
      <c r="G54" s="192">
        <f t="shared" si="40"/>
        <v>1116.5382307617892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127285.35830684398</v>
      </c>
      <c r="I54" s="97">
        <f>SUMIFS($N$64:$N$509,$B$64:$B$509,$B54)-SUMIFS($O$64:$O$509,$B$64:$B$509,$B54)</f>
        <v>-6</v>
      </c>
      <c r="J54" s="80">
        <f>SUMIFS($P$64:$P$509,$B$64:$B$509,$B54)</f>
        <v>108</v>
      </c>
      <c r="K54" s="80">
        <f t="shared" si="41"/>
        <v>1168.3383268918371</v>
      </c>
      <c r="L54" s="80">
        <f>SUMIFS($R$64:$R$509,$B$64:$B$509,$B54)+SUMIFS($Q$64:$Q$509,$B$64:$B$509,$B54)</f>
        <v>-6916.2801828349229</v>
      </c>
      <c r="M54" s="98">
        <f>SUMIFS($S$64:$S$509,$B$64:$B$509,$B54)</f>
        <v>126180.5393043184</v>
      </c>
      <c r="N54" s="80">
        <f>SUMIFS($V$64:$V$509,$B$64:$B$509,$B54)-SUMIFS($W$64:$W$509,$B$64:$B$509,$B54)</f>
        <v>-6</v>
      </c>
      <c r="O54" s="80">
        <f>SUMIFS($X$64:$X$509,$B$64:$B$509,$B54)</f>
        <v>102</v>
      </c>
      <c r="P54" s="80">
        <f t="shared" si="42"/>
        <v>1254.292901170192</v>
      </c>
      <c r="Q54" s="80">
        <f>SUMIFS($Z$64:$Z$509,$B$64:$B$509,$B54)+SUMIFS($Y$64:$Y$509,$B$64:$B$509,$B54)</f>
        <v>-7438.7346495128259</v>
      </c>
      <c r="R54" s="80">
        <f>SUMIFS($AA$64:$AA$509,$B$64:$B$509,$B54)</f>
        <v>127937.87591935959</v>
      </c>
      <c r="S54" s="97">
        <f>SUMIFS($AD$64:$AD$509,$B$64:$B$509,$B54)-SUMIFS($AE$64:$AE$509,$B$64:$B$509,$B54)</f>
        <v>-6</v>
      </c>
      <c r="T54" s="80">
        <f>SUMIFS($AF$64:$AF$509,$B$64:$B$509,$B54)</f>
        <v>96</v>
      </c>
      <c r="U54" s="80">
        <f t="shared" si="43"/>
        <v>1345.0411209463921</v>
      </c>
      <c r="V54" s="80">
        <f>SUMIFS($AH$64:$AH$509,$B$64:$B$509,$B54)+SUMIFS($AG$64:$AG$509,$B$64:$B$509,$B54)</f>
        <v>-7993.1076091305113</v>
      </c>
      <c r="W54" s="98">
        <f>SUMIFS($AI$64:$AI$509,$B$64:$B$509,$B54)</f>
        <v>129123.94761085363</v>
      </c>
      <c r="X54" s="80">
        <f>SUMIFS($AL$64:$AL$509,$B$64:$B$509,$B54)-SUMIFS($AM$64:$AM$509,$B$64:$B$509,$B54)</f>
        <v>-5</v>
      </c>
      <c r="Y54" s="80">
        <f>SUMIFS($AN$64:$AN$509,$B$64:$B$509,$B54)</f>
        <v>91</v>
      </c>
      <c r="Z54" s="80">
        <f t="shared" si="44"/>
        <v>1438.824034317023</v>
      </c>
      <c r="AA54" s="80">
        <f>SUMIFS($AP$64:$AP$509,$B$64:$B$509,$B54)+SUMIFS($AO$64:$AO$509,$B$64:$B$509,$B54)</f>
        <v>-7176.2093652552421</v>
      </c>
      <c r="AB54" s="98">
        <f>SUMIFS($AQ$64:$AQ$509,$B$64:$B$509,$B54)</f>
        <v>130932.9871228491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493</v>
      </c>
      <c r="G56" s="92">
        <f t="shared" ref="G56" si="45">IFERROR(H56/F56,0)</f>
        <v>610.72451348238928</v>
      </c>
      <c r="H56" s="92">
        <f>SUM(H51:H55)</f>
        <v>301087.18514681794</v>
      </c>
      <c r="I56" s="92">
        <f>SUM(I51:I55)</f>
        <v>-21</v>
      </c>
      <c r="J56" s="92">
        <f>SUM(J51:J55)</f>
        <v>472</v>
      </c>
      <c r="K56" s="92">
        <f t="shared" si="41"/>
        <v>652.43419728655726</v>
      </c>
      <c r="L56" s="92">
        <f>SUM(L51:L55)</f>
        <v>-14409.689737349545</v>
      </c>
      <c r="M56" s="92">
        <f>SUM(M51:M55)</f>
        <v>307948.94111925503</v>
      </c>
      <c r="N56" s="92">
        <f t="shared" ref="N56:O56" si="46">SUM(N51:N55)</f>
        <v>-18</v>
      </c>
      <c r="O56" s="92">
        <f t="shared" si="46"/>
        <v>454</v>
      </c>
      <c r="P56" s="92">
        <f>IFERROR(R56/O56,0)</f>
        <v>703.44171000510687</v>
      </c>
      <c r="Q56" s="92">
        <f t="shared" ref="Q56" si="47">SUM(Q51:Q55)</f>
        <v>-13005.622392540456</v>
      </c>
      <c r="R56" s="92">
        <f t="shared" ref="R56:T56" si="48">SUM(R51:R55)</f>
        <v>319362.53634231852</v>
      </c>
      <c r="S56" s="92">
        <f t="shared" si="48"/>
        <v>-17</v>
      </c>
      <c r="T56" s="92">
        <f t="shared" si="48"/>
        <v>437</v>
      </c>
      <c r="U56" s="92">
        <f>IFERROR(W56/T56,0)</f>
        <v>757.0789181978987</v>
      </c>
      <c r="V56" s="92">
        <f t="shared" ref="V56" si="49">SUM(V51:V55)</f>
        <v>-13537.902282274925</v>
      </c>
      <c r="W56" s="92">
        <f t="shared" ref="W56:Y56" si="50">SUM(W51:W55)</f>
        <v>330843.48725248175</v>
      </c>
      <c r="X56" s="92">
        <f t="shared" si="50"/>
        <v>-16</v>
      </c>
      <c r="Y56" s="92">
        <f t="shared" si="50"/>
        <v>421</v>
      </c>
      <c r="Z56" s="92">
        <f>IFERROR(AB56/Y56,0)</f>
        <v>814.59177748083312</v>
      </c>
      <c r="AA56" s="92">
        <f t="shared" ref="AA56" si="51">SUM(AA51:AA55)</f>
        <v>-13170.812042243313</v>
      </c>
      <c r="AB56" s="104">
        <f t="shared" ref="AB56" si="52">SUM(AB51:AB55)</f>
        <v>342943.13831943076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28</v>
      </c>
      <c r="G64" s="35">
        <f>SUMIFS(WORKING!$AC$3:$AC$6802,WORKING!$A$3:$A$6802,Results!$D$3,WORKING!$B$3:$B$6802,Results!A64,WORKING!$C$3:$C$6802,Results!C64)/1000</f>
        <v>2133.6012800000003</v>
      </c>
      <c r="H64" s="35">
        <f>IFERROR(G64/F64,0)</f>
        <v>76.200045714285721</v>
      </c>
      <c r="I64" s="156">
        <v>40</v>
      </c>
      <c r="J64" s="211">
        <v>3027.4128215711471</v>
      </c>
      <c r="K64" s="217">
        <f>IFERROR(IF(J64="",G64,J64)/IF(I64="",F64,I64),"")</f>
        <v>75.685320539278678</v>
      </c>
      <c r="L64" s="34">
        <f t="shared" ref="L64:L80" si="54">IF(I64="",F64,I64)</f>
        <v>40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82.658965973767806</v>
      </c>
      <c r="N64" s="57">
        <v>0</v>
      </c>
      <c r="O64" s="57">
        <v>0</v>
      </c>
      <c r="P64" s="61">
        <f t="shared" ref="P64:P80" si="55">-O64+L64+N64</f>
        <v>40</v>
      </c>
      <c r="Q64" s="40">
        <f>M64*N64</f>
        <v>0</v>
      </c>
      <c r="R64" s="40">
        <f>-M64*O64</f>
        <v>0</v>
      </c>
      <c r="S64" s="44">
        <f>M64*P64</f>
        <v>3306.3586389507122</v>
      </c>
      <c r="T64" s="35">
        <f>P64</f>
        <v>40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89.771769995810516</v>
      </c>
      <c r="V64" s="57">
        <v>0</v>
      </c>
      <c r="W64" s="57">
        <v>0</v>
      </c>
      <c r="X64" s="61">
        <f t="shared" ref="X64:X80" si="56">-W64+T64+V64</f>
        <v>40</v>
      </c>
      <c r="Y64" s="40">
        <f>U64*V64</f>
        <v>0</v>
      </c>
      <c r="Z64" s="40">
        <f>-U64*W64</f>
        <v>0</v>
      </c>
      <c r="AA64" s="44">
        <f>U64*X64</f>
        <v>3590.8707998324207</v>
      </c>
      <c r="AB64" s="35">
        <f>X64</f>
        <v>40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97.405512457404242</v>
      </c>
      <c r="AD64" s="57">
        <v>0</v>
      </c>
      <c r="AE64" s="57">
        <v>0</v>
      </c>
      <c r="AF64" s="61">
        <f t="shared" ref="AF64:AF80" si="57">-AE64+AB64+AD64</f>
        <v>40</v>
      </c>
      <c r="AG64" s="40">
        <f>AC64*AD64</f>
        <v>0</v>
      </c>
      <c r="AH64" s="40">
        <f>-AC64*AE64</f>
        <v>0</v>
      </c>
      <c r="AI64" s="44">
        <f>AC64*AF64</f>
        <v>3896.2204982961698</v>
      </c>
      <c r="AJ64" s="35">
        <f t="shared" ref="AJ64:AJ80" si="58">AF64</f>
        <v>40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105.49065701893107</v>
      </c>
      <c r="AL64" s="57">
        <v>0</v>
      </c>
      <c r="AM64" s="57">
        <v>0</v>
      </c>
      <c r="AN64" s="61">
        <f t="shared" ref="AN64:AN80" si="59">-AM64+AJ64+AL64</f>
        <v>40</v>
      </c>
      <c r="AO64" s="40">
        <f>AK64*AL64</f>
        <v>0</v>
      </c>
      <c r="AP64" s="40">
        <f>-AK64*AM64</f>
        <v>0</v>
      </c>
      <c r="AQ64" s="44">
        <f>AK64*AN64</f>
        <v>4219.626280757243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>
        <v>0</v>
      </c>
      <c r="J65" s="212">
        <v>0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>
        <v>0</v>
      </c>
      <c r="J66" s="212">
        <v>0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5</v>
      </c>
      <c r="G67" s="35">
        <f>SUMIFS(WORKING!$AC$3:$AC$6802,WORKING!$A$3:$A$6802,Results!$D$3,WORKING!$B$3:$B$6802,Results!A67,WORKING!$C$3:$C$6802,Results!C67)/1000</f>
        <v>856.34606000000008</v>
      </c>
      <c r="H67" s="35">
        <f t="shared" si="60"/>
        <v>171.26921200000001</v>
      </c>
      <c r="I67" s="187">
        <v>4</v>
      </c>
      <c r="J67" s="212">
        <v>663.89038278033183</v>
      </c>
      <c r="K67" s="217">
        <f t="shared" si="61"/>
        <v>165.97259569508296</v>
      </c>
      <c r="L67" s="34">
        <f t="shared" si="54"/>
        <v>4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180.31372894524154</v>
      </c>
      <c r="N67" s="57">
        <v>0</v>
      </c>
      <c r="O67" s="57">
        <v>0</v>
      </c>
      <c r="P67" s="61">
        <f t="shared" si="55"/>
        <v>4</v>
      </c>
      <c r="Q67" s="40">
        <f t="shared" si="62"/>
        <v>0</v>
      </c>
      <c r="R67" s="40">
        <f t="shared" si="63"/>
        <v>0</v>
      </c>
      <c r="S67" s="44">
        <f t="shared" si="64"/>
        <v>721.25491578096614</v>
      </c>
      <c r="T67" s="35">
        <f t="shared" si="65"/>
        <v>4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195.53409376555777</v>
      </c>
      <c r="V67" s="57">
        <v>0</v>
      </c>
      <c r="W67" s="57">
        <v>0</v>
      </c>
      <c r="X67" s="61">
        <f t="shared" si="56"/>
        <v>4</v>
      </c>
      <c r="Y67" s="40">
        <f t="shared" si="66"/>
        <v>0</v>
      </c>
      <c r="Z67" s="40">
        <f t="shared" si="67"/>
        <v>0</v>
      </c>
      <c r="AA67" s="44">
        <f t="shared" si="68"/>
        <v>782.13637506223108</v>
      </c>
      <c r="AB67" s="35">
        <f t="shared" si="69"/>
        <v>4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211.84114809594988</v>
      </c>
      <c r="AD67" s="57">
        <v>0</v>
      </c>
      <c r="AE67" s="57">
        <v>0</v>
      </c>
      <c r="AF67" s="61">
        <f t="shared" si="57"/>
        <v>4</v>
      </c>
      <c r="AG67" s="40">
        <f t="shared" si="70"/>
        <v>0</v>
      </c>
      <c r="AH67" s="40">
        <f t="shared" si="71"/>
        <v>0</v>
      </c>
      <c r="AI67" s="44">
        <f t="shared" si="72"/>
        <v>847.3645923837995</v>
      </c>
      <c r="AJ67" s="35">
        <f t="shared" si="58"/>
        <v>4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229.07899616164599</v>
      </c>
      <c r="AL67" s="57">
        <v>0</v>
      </c>
      <c r="AM67" s="57">
        <v>0</v>
      </c>
      <c r="AN67" s="61">
        <f t="shared" si="59"/>
        <v>4</v>
      </c>
      <c r="AO67" s="40">
        <f t="shared" si="73"/>
        <v>0</v>
      </c>
      <c r="AP67" s="40">
        <f t="shared" si="74"/>
        <v>0</v>
      </c>
      <c r="AQ67" s="44">
        <f t="shared" si="75"/>
        <v>916.31598464658396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9</v>
      </c>
      <c r="G68" s="35">
        <f>SUMIFS(WORKING!$AC$3:$AC$6802,WORKING!$A$3:$A$6802,Results!$D$3,WORKING!$B$3:$B$6802,Results!A68,WORKING!$C$3:$C$6802,Results!C68)/1000</f>
        <v>1778.2070800000001</v>
      </c>
      <c r="H68" s="35">
        <f t="shared" si="60"/>
        <v>197.57856444444445</v>
      </c>
      <c r="I68" s="187">
        <v>8</v>
      </c>
      <c r="J68" s="212">
        <v>1546.8049490532212</v>
      </c>
      <c r="K68" s="217">
        <f t="shared" si="61"/>
        <v>193.35061863165265</v>
      </c>
      <c r="L68" s="34">
        <f t="shared" si="54"/>
        <v>8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210.46179633160307</v>
      </c>
      <c r="N68" s="57">
        <v>0</v>
      </c>
      <c r="O68" s="57">
        <v>1</v>
      </c>
      <c r="P68" s="61">
        <f t="shared" si="55"/>
        <v>7</v>
      </c>
      <c r="Q68" s="40">
        <f t="shared" si="62"/>
        <v>0</v>
      </c>
      <c r="R68" s="40">
        <f t="shared" si="63"/>
        <v>-210.46179633160307</v>
      </c>
      <c r="S68" s="44">
        <f t="shared" si="64"/>
        <v>1473.2325743212214</v>
      </c>
      <c r="T68" s="35">
        <f t="shared" si="65"/>
        <v>7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228.35263135573774</v>
      </c>
      <c r="V68" s="57">
        <v>0</v>
      </c>
      <c r="W68" s="57">
        <v>1</v>
      </c>
      <c r="X68" s="61">
        <f t="shared" si="56"/>
        <v>6</v>
      </c>
      <c r="Y68" s="40">
        <f t="shared" si="66"/>
        <v>0</v>
      </c>
      <c r="Z68" s="40">
        <f t="shared" si="67"/>
        <v>-228.35263135573774</v>
      </c>
      <c r="AA68" s="44">
        <f t="shared" si="68"/>
        <v>1370.1157881344266</v>
      </c>
      <c r="AB68" s="35">
        <f t="shared" si="69"/>
        <v>6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247.53284995087282</v>
      </c>
      <c r="AD68" s="57">
        <v>0</v>
      </c>
      <c r="AE68" s="57">
        <v>1</v>
      </c>
      <c r="AF68" s="61">
        <f t="shared" si="57"/>
        <v>5</v>
      </c>
      <c r="AG68" s="40">
        <f t="shared" si="70"/>
        <v>0</v>
      </c>
      <c r="AH68" s="40">
        <f t="shared" si="71"/>
        <v>-247.53284995087282</v>
      </c>
      <c r="AI68" s="44">
        <f t="shared" si="72"/>
        <v>1237.6642497543642</v>
      </c>
      <c r="AJ68" s="35">
        <f t="shared" si="58"/>
        <v>5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267.82226083997051</v>
      </c>
      <c r="AL68" s="57">
        <v>0</v>
      </c>
      <c r="AM68" s="57">
        <v>1</v>
      </c>
      <c r="AN68" s="61">
        <f t="shared" si="59"/>
        <v>4</v>
      </c>
      <c r="AO68" s="40">
        <f t="shared" si="73"/>
        <v>0</v>
      </c>
      <c r="AP68" s="40">
        <f t="shared" si="74"/>
        <v>-267.82226083997051</v>
      </c>
      <c r="AQ68" s="44">
        <f t="shared" si="75"/>
        <v>1071.289043359882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35</v>
      </c>
      <c r="G69" s="35">
        <f>SUMIFS(WORKING!$AC$3:$AC$6802,WORKING!$A$3:$A$6802,Results!$D$3,WORKING!$B$3:$B$6802,Results!A69,WORKING!$C$3:$C$6802,Results!C69)/1000</f>
        <v>9058.3008700000009</v>
      </c>
      <c r="H69" s="35">
        <f t="shared" si="60"/>
        <v>258.80859628571432</v>
      </c>
      <c r="I69" s="187">
        <v>32</v>
      </c>
      <c r="J69" s="212">
        <v>8497.2441869251652</v>
      </c>
      <c r="K69" s="217">
        <f t="shared" si="61"/>
        <v>265.53888084141141</v>
      </c>
      <c r="L69" s="34">
        <f t="shared" si="54"/>
        <v>32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288.79241288195482</v>
      </c>
      <c r="N69" s="57">
        <v>0</v>
      </c>
      <c r="O69" s="57">
        <v>2</v>
      </c>
      <c r="P69" s="61">
        <f t="shared" si="55"/>
        <v>30</v>
      </c>
      <c r="Q69" s="40">
        <f t="shared" si="62"/>
        <v>0</v>
      </c>
      <c r="R69" s="40">
        <f t="shared" si="63"/>
        <v>-577.58482576390963</v>
      </c>
      <c r="S69" s="44">
        <f t="shared" si="64"/>
        <v>8663.7723864586442</v>
      </c>
      <c r="T69" s="35">
        <f t="shared" si="65"/>
        <v>30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313.26621346592322</v>
      </c>
      <c r="V69" s="57">
        <v>0</v>
      </c>
      <c r="W69" s="57">
        <v>2</v>
      </c>
      <c r="X69" s="61">
        <f t="shared" si="56"/>
        <v>28</v>
      </c>
      <c r="Y69" s="40">
        <f t="shared" si="66"/>
        <v>0</v>
      </c>
      <c r="Z69" s="40">
        <f t="shared" si="67"/>
        <v>-626.53242693184643</v>
      </c>
      <c r="AA69" s="44">
        <f t="shared" si="68"/>
        <v>8771.4539770458505</v>
      </c>
      <c r="AB69" s="35">
        <f t="shared" si="69"/>
        <v>28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339.49658434665071</v>
      </c>
      <c r="AD69" s="57">
        <v>0</v>
      </c>
      <c r="AE69" s="57">
        <v>2</v>
      </c>
      <c r="AF69" s="61">
        <f t="shared" si="57"/>
        <v>26</v>
      </c>
      <c r="AG69" s="40">
        <f t="shared" si="70"/>
        <v>0</v>
      </c>
      <c r="AH69" s="40">
        <f t="shared" si="71"/>
        <v>-678.99316869330141</v>
      </c>
      <c r="AI69" s="44">
        <f t="shared" si="72"/>
        <v>8826.9111930129184</v>
      </c>
      <c r="AJ69" s="35">
        <f t="shared" si="58"/>
        <v>26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367.23517032975826</v>
      </c>
      <c r="AL69" s="57">
        <v>0</v>
      </c>
      <c r="AM69" s="57">
        <v>2</v>
      </c>
      <c r="AN69" s="61">
        <f t="shared" si="59"/>
        <v>24</v>
      </c>
      <c r="AO69" s="40">
        <f t="shared" si="73"/>
        <v>0</v>
      </c>
      <c r="AP69" s="40">
        <f t="shared" si="74"/>
        <v>-734.47034065951652</v>
      </c>
      <c r="AQ69" s="44">
        <f t="shared" si="75"/>
        <v>8813.6440879141992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16</v>
      </c>
      <c r="G70" s="35">
        <f>SUMIFS(WORKING!$AC$3:$AC$6802,WORKING!$A$3:$A$6802,Results!$D$3,WORKING!$B$3:$B$6802,Results!A70,WORKING!$C$3:$C$6802,Results!C70)/1000</f>
        <v>5290.3282399999989</v>
      </c>
      <c r="H70" s="35">
        <f t="shared" si="60"/>
        <v>330.64551499999993</v>
      </c>
      <c r="I70" s="187">
        <v>19</v>
      </c>
      <c r="J70" s="212">
        <v>6340.4875506851486</v>
      </c>
      <c r="K70" s="217">
        <f t="shared" si="61"/>
        <v>333.70987108869201</v>
      </c>
      <c r="L70" s="34">
        <f t="shared" si="54"/>
        <v>19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363.17784305389301</v>
      </c>
      <c r="N70" s="57">
        <v>0</v>
      </c>
      <c r="O70" s="57">
        <v>2</v>
      </c>
      <c r="P70" s="61">
        <f t="shared" si="55"/>
        <v>17</v>
      </c>
      <c r="Q70" s="40">
        <f t="shared" si="62"/>
        <v>0</v>
      </c>
      <c r="R70" s="40">
        <f t="shared" si="63"/>
        <v>-726.35568610778603</v>
      </c>
      <c r="S70" s="44">
        <f t="shared" si="64"/>
        <v>6174.0233319161816</v>
      </c>
      <c r="T70" s="35">
        <f t="shared" si="65"/>
        <v>17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394.03205639935561</v>
      </c>
      <c r="V70" s="57">
        <v>0</v>
      </c>
      <c r="W70" s="57">
        <v>2</v>
      </c>
      <c r="X70" s="61">
        <f t="shared" si="56"/>
        <v>15</v>
      </c>
      <c r="Y70" s="40">
        <f t="shared" si="66"/>
        <v>0</v>
      </c>
      <c r="Z70" s="40">
        <f t="shared" si="67"/>
        <v>-788.06411279871122</v>
      </c>
      <c r="AA70" s="44">
        <f t="shared" si="68"/>
        <v>5910.4808459903343</v>
      </c>
      <c r="AB70" s="35">
        <f t="shared" si="69"/>
        <v>15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427.10808249174414</v>
      </c>
      <c r="AD70" s="57">
        <v>0</v>
      </c>
      <c r="AE70" s="57">
        <v>2</v>
      </c>
      <c r="AF70" s="61">
        <f t="shared" si="57"/>
        <v>13</v>
      </c>
      <c r="AG70" s="40">
        <f t="shared" si="70"/>
        <v>0</v>
      </c>
      <c r="AH70" s="40">
        <f t="shared" si="71"/>
        <v>-854.21616498348828</v>
      </c>
      <c r="AI70" s="44">
        <f t="shared" si="72"/>
        <v>5552.4050723926739</v>
      </c>
      <c r="AJ70" s="35">
        <f t="shared" si="58"/>
        <v>13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462.09464279053793</v>
      </c>
      <c r="AL70" s="57">
        <v>0</v>
      </c>
      <c r="AM70" s="57">
        <v>2</v>
      </c>
      <c r="AN70" s="61">
        <f t="shared" si="59"/>
        <v>11</v>
      </c>
      <c r="AO70" s="40">
        <f t="shared" si="73"/>
        <v>0</v>
      </c>
      <c r="AP70" s="40">
        <f t="shared" si="74"/>
        <v>-924.18928558107586</v>
      </c>
      <c r="AQ70" s="44">
        <f t="shared" si="75"/>
        <v>5083.0410706959174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21</v>
      </c>
      <c r="G71" s="35">
        <f>SUMIFS(WORKING!$AC$3:$AC$6802,WORKING!$A$3:$A$6802,Results!$D$3,WORKING!$B$3:$B$6802,Results!A71,WORKING!$C$3:$C$6802,Results!C71)/1000</f>
        <v>7238.7814399999997</v>
      </c>
      <c r="H71" s="35">
        <f>IFERROR(G71/F71,0)</f>
        <v>344.70387809523811</v>
      </c>
      <c r="I71" s="187">
        <v>19</v>
      </c>
      <c r="J71" s="212">
        <v>6641.3886104908433</v>
      </c>
      <c r="K71" s="217">
        <f t="shared" si="61"/>
        <v>349.54676897320229</v>
      </c>
      <c r="L71" s="34">
        <f t="shared" si="54"/>
        <v>19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380.6408560612046</v>
      </c>
      <c r="N71" s="57">
        <v>0</v>
      </c>
      <c r="O71" s="57">
        <v>1</v>
      </c>
      <c r="P71" s="61">
        <f t="shared" si="55"/>
        <v>18</v>
      </c>
      <c r="Q71" s="40">
        <f t="shared" si="62"/>
        <v>0</v>
      </c>
      <c r="R71" s="40">
        <f t="shared" si="63"/>
        <v>-380.6408560612046</v>
      </c>
      <c r="S71" s="44">
        <f t="shared" si="64"/>
        <v>6851.5354091016825</v>
      </c>
      <c r="T71" s="35">
        <f t="shared" si="65"/>
        <v>18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413.04957563709462</v>
      </c>
      <c r="V71" s="57">
        <v>0</v>
      </c>
      <c r="W71" s="57">
        <v>1</v>
      </c>
      <c r="X71" s="61">
        <f t="shared" si="56"/>
        <v>17</v>
      </c>
      <c r="Y71" s="40">
        <f t="shared" si="66"/>
        <v>0</v>
      </c>
      <c r="Z71" s="40">
        <f t="shared" si="67"/>
        <v>-413.04957563709462</v>
      </c>
      <c r="AA71" s="44">
        <f t="shared" si="68"/>
        <v>7021.8427858306086</v>
      </c>
      <c r="AB71" s="35">
        <f t="shared" si="69"/>
        <v>17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447.79883474097659</v>
      </c>
      <c r="AD71" s="57">
        <v>0</v>
      </c>
      <c r="AE71" s="57">
        <v>1</v>
      </c>
      <c r="AF71" s="61">
        <f t="shared" si="57"/>
        <v>16</v>
      </c>
      <c r="AG71" s="40">
        <f t="shared" si="70"/>
        <v>0</v>
      </c>
      <c r="AH71" s="40">
        <f t="shared" si="71"/>
        <v>-447.79883474097659</v>
      </c>
      <c r="AI71" s="44">
        <f t="shared" si="72"/>
        <v>7164.7813558556254</v>
      </c>
      <c r="AJ71" s="35">
        <f t="shared" si="58"/>
        <v>16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484.56338821076349</v>
      </c>
      <c r="AL71" s="57">
        <v>0</v>
      </c>
      <c r="AM71" s="57">
        <v>1</v>
      </c>
      <c r="AN71" s="61">
        <f t="shared" si="59"/>
        <v>15</v>
      </c>
      <c r="AO71" s="40">
        <f t="shared" si="73"/>
        <v>0</v>
      </c>
      <c r="AP71" s="40">
        <f t="shared" si="74"/>
        <v>-484.56338821076349</v>
      </c>
      <c r="AQ71" s="44">
        <f t="shared" si="75"/>
        <v>7268.4508231614527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28</v>
      </c>
      <c r="G72" s="35">
        <f>SUMIFS(WORKING!$AC$3:$AC$6802,WORKING!$A$3:$A$6802,Results!$D$3,WORKING!$B$3:$B$6802,Results!A72,WORKING!$C$3:$C$6802,Results!C72)/1000</f>
        <v>10058.597669999997</v>
      </c>
      <c r="H72" s="35">
        <f t="shared" si="60"/>
        <v>359.23563107142849</v>
      </c>
      <c r="I72" s="187">
        <v>31</v>
      </c>
      <c r="J72" s="212">
        <v>11558.820980940371</v>
      </c>
      <c r="K72" s="217">
        <f>IFERROR(IF(J72="",G72,J72)/IF(I72="",F72,I72),"")</f>
        <v>372.86519293356037</v>
      </c>
      <c r="L72" s="34">
        <f t="shared" si="54"/>
        <v>31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406.33649723625552</v>
      </c>
      <c r="N72" s="57">
        <v>0</v>
      </c>
      <c r="O72" s="57">
        <v>1</v>
      </c>
      <c r="P72" s="61">
        <f t="shared" si="55"/>
        <v>30</v>
      </c>
      <c r="Q72" s="40">
        <f t="shared" si="62"/>
        <v>0</v>
      </c>
      <c r="R72" s="40">
        <f t="shared" si="63"/>
        <v>-406.33649723625552</v>
      </c>
      <c r="S72" s="44">
        <f t="shared" si="64"/>
        <v>12190.094917087667</v>
      </c>
      <c r="T72" s="35">
        <f t="shared" si="65"/>
        <v>30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441.02631913253703</v>
      </c>
      <c r="V72" s="57">
        <v>0</v>
      </c>
      <c r="W72" s="57">
        <v>1</v>
      </c>
      <c r="X72" s="61">
        <f t="shared" si="56"/>
        <v>29</v>
      </c>
      <c r="Y72" s="40">
        <f t="shared" si="66"/>
        <v>0</v>
      </c>
      <c r="Z72" s="40">
        <f t="shared" si="67"/>
        <v>-441.02631913253703</v>
      </c>
      <c r="AA72" s="44">
        <f t="shared" si="68"/>
        <v>12789.763254843574</v>
      </c>
      <c r="AB72" s="35">
        <f t="shared" si="69"/>
        <v>29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478.23041948913658</v>
      </c>
      <c r="AD72" s="57">
        <v>0</v>
      </c>
      <c r="AE72" s="57">
        <v>1</v>
      </c>
      <c r="AF72" s="61">
        <f t="shared" si="57"/>
        <v>28</v>
      </c>
      <c r="AG72" s="40">
        <f t="shared" si="70"/>
        <v>0</v>
      </c>
      <c r="AH72" s="40">
        <f t="shared" si="71"/>
        <v>-478.23041948913658</v>
      </c>
      <c r="AI72" s="44">
        <f t="shared" si="72"/>
        <v>13390.451745695824</v>
      </c>
      <c r="AJ72" s="35">
        <f t="shared" si="58"/>
        <v>28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517.60298983691519</v>
      </c>
      <c r="AL72" s="57">
        <v>0</v>
      </c>
      <c r="AM72" s="57">
        <v>1</v>
      </c>
      <c r="AN72" s="61">
        <f t="shared" si="59"/>
        <v>27</v>
      </c>
      <c r="AO72" s="40">
        <f t="shared" si="73"/>
        <v>0</v>
      </c>
      <c r="AP72" s="40">
        <f t="shared" si="74"/>
        <v>-517.60298983691519</v>
      </c>
      <c r="AQ72" s="44">
        <f t="shared" si="75"/>
        <v>13975.280725596709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26</v>
      </c>
      <c r="G73" s="35">
        <f>SUMIFS(WORKING!$AC$3:$AC$6802,WORKING!$A$3:$A$6802,Results!$D$3,WORKING!$B$3:$B$6802,Results!A73,WORKING!$C$3:$C$6802,Results!C73)/1000</f>
        <v>14159.500569999998</v>
      </c>
      <c r="H73" s="35">
        <f t="shared" si="60"/>
        <v>544.59617576923074</v>
      </c>
      <c r="I73" s="187">
        <v>19</v>
      </c>
      <c r="J73" s="212">
        <v>10870.758071833652</v>
      </c>
      <c r="K73" s="217">
        <f t="shared" si="61"/>
        <v>572.14516167545537</v>
      </c>
      <c r="L73" s="34">
        <f t="shared" si="54"/>
        <v>19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623.64491559782959</v>
      </c>
      <c r="N73" s="57">
        <v>0</v>
      </c>
      <c r="O73" s="57">
        <v>0</v>
      </c>
      <c r="P73" s="61">
        <f t="shared" si="55"/>
        <v>19</v>
      </c>
      <c r="Q73" s="40">
        <f t="shared" si="62"/>
        <v>0</v>
      </c>
      <c r="R73" s="40">
        <f t="shared" si="63"/>
        <v>0</v>
      </c>
      <c r="S73" s="44">
        <f t="shared" si="64"/>
        <v>11849.253396358763</v>
      </c>
      <c r="T73" s="35">
        <f t="shared" si="65"/>
        <v>19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676.92945099971496</v>
      </c>
      <c r="V73" s="57">
        <v>0</v>
      </c>
      <c r="W73" s="57">
        <v>0</v>
      </c>
      <c r="X73" s="61">
        <f t="shared" si="56"/>
        <v>19</v>
      </c>
      <c r="Y73" s="40">
        <f t="shared" si="66"/>
        <v>0</v>
      </c>
      <c r="Z73" s="40">
        <f t="shared" si="67"/>
        <v>0</v>
      </c>
      <c r="AA73" s="44">
        <f t="shared" si="68"/>
        <v>12861.659568994584</v>
      </c>
      <c r="AB73" s="35">
        <f t="shared" si="69"/>
        <v>19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734.08013278773069</v>
      </c>
      <c r="AD73" s="57">
        <v>0</v>
      </c>
      <c r="AE73" s="57">
        <v>0</v>
      </c>
      <c r="AF73" s="61">
        <f t="shared" si="57"/>
        <v>19</v>
      </c>
      <c r="AG73" s="40">
        <f t="shared" si="70"/>
        <v>0</v>
      </c>
      <c r="AH73" s="40">
        <f t="shared" si="71"/>
        <v>0</v>
      </c>
      <c r="AI73" s="44">
        <f t="shared" si="72"/>
        <v>13947.522522966883</v>
      </c>
      <c r="AJ73" s="35">
        <f t="shared" si="58"/>
        <v>19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794.56689643943548</v>
      </c>
      <c r="AL73" s="57">
        <v>0</v>
      </c>
      <c r="AM73" s="57">
        <v>0</v>
      </c>
      <c r="AN73" s="61">
        <f t="shared" si="59"/>
        <v>19</v>
      </c>
      <c r="AO73" s="40">
        <f t="shared" si="73"/>
        <v>0</v>
      </c>
      <c r="AP73" s="40">
        <f t="shared" si="74"/>
        <v>0</v>
      </c>
      <c r="AQ73" s="44">
        <f t="shared" si="75"/>
        <v>15096.771032349274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35</v>
      </c>
      <c r="G74" s="35">
        <f>SUMIFS(WORKING!$AC$3:$AC$6802,WORKING!$A$3:$A$6802,Results!$D$3,WORKING!$B$3:$B$6802,Results!A74,WORKING!$C$3:$C$6802,Results!C74)/1000</f>
        <v>19673.16642999999</v>
      </c>
      <c r="H74" s="35">
        <f t="shared" si="60"/>
        <v>562.09046942857117</v>
      </c>
      <c r="I74" s="187">
        <v>37</v>
      </c>
      <c r="J74" s="212">
        <v>22837.554648405938</v>
      </c>
      <c r="K74" s="217">
        <f t="shared" si="61"/>
        <v>617.23120671367394</v>
      </c>
      <c r="L74" s="34">
        <f t="shared" si="54"/>
        <v>37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673.88460877226601</v>
      </c>
      <c r="N74" s="57">
        <v>0</v>
      </c>
      <c r="O74" s="57">
        <v>1</v>
      </c>
      <c r="P74" s="61">
        <f t="shared" si="55"/>
        <v>36</v>
      </c>
      <c r="Q74" s="40">
        <f t="shared" si="62"/>
        <v>0</v>
      </c>
      <c r="R74" s="40">
        <f t="shared" si="63"/>
        <v>-673.88460877226601</v>
      </c>
      <c r="S74" s="44">
        <f t="shared" si="64"/>
        <v>24259.845915801576</v>
      </c>
      <c r="T74" s="35">
        <f t="shared" si="65"/>
        <v>36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731.6353916846989</v>
      </c>
      <c r="V74" s="57">
        <v>0</v>
      </c>
      <c r="W74" s="57">
        <v>1</v>
      </c>
      <c r="X74" s="61">
        <f t="shared" si="56"/>
        <v>35</v>
      </c>
      <c r="Y74" s="40">
        <f t="shared" si="66"/>
        <v>0</v>
      </c>
      <c r="Z74" s="40">
        <f t="shared" si="67"/>
        <v>-731.6353916846989</v>
      </c>
      <c r="AA74" s="44">
        <f t="shared" si="68"/>
        <v>25607.238708964462</v>
      </c>
      <c r="AB74" s="35">
        <f t="shared" si="69"/>
        <v>35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793.59295056196663</v>
      </c>
      <c r="AD74" s="57">
        <v>0</v>
      </c>
      <c r="AE74" s="57">
        <v>1</v>
      </c>
      <c r="AF74" s="61">
        <f t="shared" si="57"/>
        <v>34</v>
      </c>
      <c r="AG74" s="40">
        <f t="shared" si="70"/>
        <v>0</v>
      </c>
      <c r="AH74" s="40">
        <f t="shared" si="71"/>
        <v>-793.59295056196663</v>
      </c>
      <c r="AI74" s="44">
        <f t="shared" si="72"/>
        <v>26982.160319106864</v>
      </c>
      <c r="AJ74" s="35">
        <f t="shared" si="58"/>
        <v>34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859.18682992777826</v>
      </c>
      <c r="AL74" s="57">
        <v>0</v>
      </c>
      <c r="AM74" s="57">
        <v>1</v>
      </c>
      <c r="AN74" s="61">
        <f t="shared" si="59"/>
        <v>33</v>
      </c>
      <c r="AO74" s="40">
        <f t="shared" si="73"/>
        <v>0</v>
      </c>
      <c r="AP74" s="40">
        <f t="shared" si="74"/>
        <v>-859.18682992777826</v>
      </c>
      <c r="AQ74" s="44">
        <f t="shared" si="75"/>
        <v>28353.165387616682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31</v>
      </c>
      <c r="G75" s="35">
        <f>SUMIFS(WORKING!$AC$3:$AC$6802,WORKING!$A$3:$A$6802,Results!$D$3,WORKING!$B$3:$B$6802,Results!A75,WORKING!$C$3:$C$6802,Results!C75)/1000</f>
        <v>24726.739510000007</v>
      </c>
      <c r="H75" s="35">
        <f t="shared" si="60"/>
        <v>797.63675838709696</v>
      </c>
      <c r="I75" s="187">
        <v>23</v>
      </c>
      <c r="J75" s="212">
        <v>20522.771921252614</v>
      </c>
      <c r="K75" s="217">
        <f t="shared" si="61"/>
        <v>892.29443135880933</v>
      </c>
      <c r="L75" s="34">
        <f t="shared" si="54"/>
        <v>23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974.16017224116013</v>
      </c>
      <c r="N75" s="57">
        <v>0</v>
      </c>
      <c r="O75" s="57">
        <v>0</v>
      </c>
      <c r="P75" s="61">
        <f t="shared" si="55"/>
        <v>23</v>
      </c>
      <c r="Q75" s="40">
        <f t="shared" si="62"/>
        <v>0</v>
      </c>
      <c r="R75" s="40">
        <f t="shared" si="63"/>
        <v>0</v>
      </c>
      <c r="S75" s="44">
        <f t="shared" si="64"/>
        <v>22405.683961546682</v>
      </c>
      <c r="T75" s="35">
        <f t="shared" si="65"/>
        <v>23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1057.6063832062337</v>
      </c>
      <c r="V75" s="57">
        <v>0</v>
      </c>
      <c r="W75" s="57">
        <v>0</v>
      </c>
      <c r="X75" s="61">
        <f t="shared" si="56"/>
        <v>23</v>
      </c>
      <c r="Y75" s="40">
        <f t="shared" si="66"/>
        <v>0</v>
      </c>
      <c r="Z75" s="40">
        <f t="shared" si="67"/>
        <v>0</v>
      </c>
      <c r="AA75" s="44">
        <f t="shared" si="68"/>
        <v>24324.946813743372</v>
      </c>
      <c r="AB75" s="35">
        <f t="shared" si="69"/>
        <v>23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1147.1274820322783</v>
      </c>
      <c r="AD75" s="57">
        <v>0</v>
      </c>
      <c r="AE75" s="57">
        <v>0</v>
      </c>
      <c r="AF75" s="61">
        <f t="shared" si="57"/>
        <v>23</v>
      </c>
      <c r="AG75" s="40">
        <f t="shared" si="70"/>
        <v>0</v>
      </c>
      <c r="AH75" s="40">
        <f t="shared" si="71"/>
        <v>0</v>
      </c>
      <c r="AI75" s="44">
        <f t="shared" si="72"/>
        <v>26383.932086742399</v>
      </c>
      <c r="AJ75" s="35">
        <f t="shared" si="58"/>
        <v>23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1241.8982630245662</v>
      </c>
      <c r="AL75" s="57">
        <v>0</v>
      </c>
      <c r="AM75" s="57">
        <v>0</v>
      </c>
      <c r="AN75" s="61">
        <f t="shared" si="59"/>
        <v>23</v>
      </c>
      <c r="AO75" s="40">
        <f t="shared" si="73"/>
        <v>0</v>
      </c>
      <c r="AP75" s="40">
        <f t="shared" si="74"/>
        <v>0</v>
      </c>
      <c r="AQ75" s="44">
        <f t="shared" si="75"/>
        <v>28563.660049565024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37</v>
      </c>
      <c r="G76" s="35">
        <f>SUMIFS(WORKING!$AC$3:$AC$6802,WORKING!$A$3:$A$6802,Results!$D$3,WORKING!$B$3:$B$6802,Results!A76,WORKING!$C$3:$C$6802,Results!C76)/1000</f>
        <v>34354.715100000001</v>
      </c>
      <c r="H76" s="35">
        <f t="shared" si="60"/>
        <v>928.50581351351354</v>
      </c>
      <c r="I76" s="187">
        <v>32</v>
      </c>
      <c r="J76" s="212">
        <v>35230.895782525862</v>
      </c>
      <c r="K76" s="217">
        <f t="shared" si="61"/>
        <v>1100.9654932039332</v>
      </c>
      <c r="L76" s="34">
        <f t="shared" si="54"/>
        <v>32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1153.9636341124931</v>
      </c>
      <c r="N76" s="57">
        <v>0</v>
      </c>
      <c r="O76" s="57">
        <v>2</v>
      </c>
      <c r="P76" s="61">
        <f t="shared" si="55"/>
        <v>30</v>
      </c>
      <c r="Q76" s="40">
        <f t="shared" si="62"/>
        <v>0</v>
      </c>
      <c r="R76" s="40">
        <f t="shared" si="63"/>
        <v>-2307.9272682249862</v>
      </c>
      <c r="S76" s="44">
        <f t="shared" si="64"/>
        <v>34618.909023374792</v>
      </c>
      <c r="T76" s="35">
        <f t="shared" si="65"/>
        <v>30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1241.1265949274655</v>
      </c>
      <c r="V76" s="57">
        <v>0</v>
      </c>
      <c r="W76" s="57">
        <v>2</v>
      </c>
      <c r="X76" s="61">
        <f t="shared" si="56"/>
        <v>28</v>
      </c>
      <c r="Y76" s="40">
        <f t="shared" si="66"/>
        <v>0</v>
      </c>
      <c r="Z76" s="40">
        <f t="shared" si="67"/>
        <v>-2482.253189854931</v>
      </c>
      <c r="AA76" s="44">
        <f t="shared" si="68"/>
        <v>34751.544657969032</v>
      </c>
      <c r="AB76" s="35">
        <f t="shared" si="69"/>
        <v>28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1333.613968500599</v>
      </c>
      <c r="AD76" s="57">
        <v>0</v>
      </c>
      <c r="AE76" s="57">
        <v>2</v>
      </c>
      <c r="AF76" s="61">
        <f t="shared" si="57"/>
        <v>26</v>
      </c>
      <c r="AG76" s="40">
        <f t="shared" si="70"/>
        <v>0</v>
      </c>
      <c r="AH76" s="40">
        <f t="shared" si="71"/>
        <v>-2667.2279370011979</v>
      </c>
      <c r="AI76" s="44">
        <f t="shared" si="72"/>
        <v>34673.96318101557</v>
      </c>
      <c r="AJ76" s="35">
        <f t="shared" si="58"/>
        <v>26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1430.2870840398921</v>
      </c>
      <c r="AL76" s="57">
        <v>0</v>
      </c>
      <c r="AM76" s="57">
        <v>2</v>
      </c>
      <c r="AN76" s="61">
        <f t="shared" si="59"/>
        <v>24</v>
      </c>
      <c r="AO76" s="40">
        <f t="shared" si="73"/>
        <v>0</v>
      </c>
      <c r="AP76" s="40">
        <f t="shared" si="74"/>
        <v>-2860.5741680797842</v>
      </c>
      <c r="AQ76" s="44">
        <f t="shared" si="75"/>
        <v>34326.890016957412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9</v>
      </c>
      <c r="G77" s="35">
        <f>SUMIFS(WORKING!$AC$3:$AC$6802,WORKING!$A$3:$A$6802,Results!$D$3,WORKING!$B$3:$B$6802,Results!A77,WORKING!$C$3:$C$6802,Results!C77)/1000</f>
        <v>11657.133800000001</v>
      </c>
      <c r="H77" s="35">
        <f t="shared" si="60"/>
        <v>1295.237088888889</v>
      </c>
      <c r="I77" s="187">
        <v>8</v>
      </c>
      <c r="J77" s="212">
        <v>10294</v>
      </c>
      <c r="K77" s="217">
        <f t="shared" si="61"/>
        <v>1286.75</v>
      </c>
      <c r="L77" s="34">
        <f t="shared" si="54"/>
        <v>8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1348.4014145942526</v>
      </c>
      <c r="N77" s="57">
        <v>0</v>
      </c>
      <c r="O77" s="57">
        <v>1</v>
      </c>
      <c r="P77" s="61">
        <f t="shared" si="55"/>
        <v>7</v>
      </c>
      <c r="Q77" s="40">
        <f t="shared" si="62"/>
        <v>0</v>
      </c>
      <c r="R77" s="40">
        <f t="shared" si="63"/>
        <v>-1348.4014145942526</v>
      </c>
      <c r="S77" s="44">
        <f t="shared" si="64"/>
        <v>9438.8099021597682</v>
      </c>
      <c r="T77" s="35">
        <f t="shared" si="65"/>
        <v>7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1449.9391142407931</v>
      </c>
      <c r="V77" s="57">
        <v>0</v>
      </c>
      <c r="W77" s="57">
        <v>1</v>
      </c>
      <c r="X77" s="61">
        <f t="shared" si="56"/>
        <v>6</v>
      </c>
      <c r="Y77" s="40">
        <f t="shared" si="66"/>
        <v>0</v>
      </c>
      <c r="Z77" s="40">
        <f t="shared" si="67"/>
        <v>-1449.9391142407931</v>
      </c>
      <c r="AA77" s="44">
        <f t="shared" si="68"/>
        <v>8699.6346854447584</v>
      </c>
      <c r="AB77" s="35">
        <f t="shared" si="69"/>
        <v>6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1557.6519634860369</v>
      </c>
      <c r="AD77" s="57">
        <v>0</v>
      </c>
      <c r="AE77" s="57">
        <v>1</v>
      </c>
      <c r="AF77" s="61">
        <f t="shared" si="57"/>
        <v>5</v>
      </c>
      <c r="AG77" s="40">
        <f t="shared" si="70"/>
        <v>0</v>
      </c>
      <c r="AH77" s="40">
        <f t="shared" si="71"/>
        <v>-1557.6519634860369</v>
      </c>
      <c r="AI77" s="44">
        <f t="shared" si="72"/>
        <v>7788.2598174301847</v>
      </c>
      <c r="AJ77" s="35">
        <f t="shared" si="58"/>
        <v>5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1670.2062911581779</v>
      </c>
      <c r="AL77" s="57">
        <v>0</v>
      </c>
      <c r="AM77" s="57">
        <v>1</v>
      </c>
      <c r="AN77" s="61">
        <f t="shared" si="59"/>
        <v>4</v>
      </c>
      <c r="AO77" s="40">
        <f t="shared" si="73"/>
        <v>0</v>
      </c>
      <c r="AP77" s="40">
        <f t="shared" si="74"/>
        <v>-1670.2062911581779</v>
      </c>
      <c r="AQ77" s="44">
        <f t="shared" si="75"/>
        <v>6680.8251646327117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6</v>
      </c>
      <c r="G78" s="35">
        <f>SUMIFS(WORKING!$AC$3:$AC$6802,WORKING!$A$3:$A$6802,Results!$D$3,WORKING!$B$3:$B$6802,Results!A78,WORKING!$C$3:$C$6802,Results!C78)/1000</f>
        <v>7315.8425800000005</v>
      </c>
      <c r="H78" s="35">
        <f t="shared" si="60"/>
        <v>1219.3070966666667</v>
      </c>
      <c r="I78" s="187">
        <v>9</v>
      </c>
      <c r="J78" s="212">
        <v>11773</v>
      </c>
      <c r="K78" s="217">
        <f t="shared" si="61"/>
        <v>1308.1111111111111</v>
      </c>
      <c r="L78" s="34">
        <f t="shared" si="54"/>
        <v>9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1371.1973329579234</v>
      </c>
      <c r="N78" s="57">
        <v>0</v>
      </c>
      <c r="O78" s="57">
        <v>0</v>
      </c>
      <c r="P78" s="61">
        <f t="shared" si="55"/>
        <v>9</v>
      </c>
      <c r="Q78" s="40">
        <f t="shared" si="62"/>
        <v>0</v>
      </c>
      <c r="R78" s="40">
        <f t="shared" si="63"/>
        <v>0</v>
      </c>
      <c r="S78" s="44">
        <f t="shared" si="64"/>
        <v>12340.775996621311</v>
      </c>
      <c r="T78" s="35">
        <f t="shared" si="65"/>
        <v>9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1474.8940679310606</v>
      </c>
      <c r="V78" s="57">
        <v>0</v>
      </c>
      <c r="W78" s="57">
        <v>0</v>
      </c>
      <c r="X78" s="61">
        <f t="shared" si="56"/>
        <v>9</v>
      </c>
      <c r="Y78" s="40">
        <f t="shared" si="66"/>
        <v>0</v>
      </c>
      <c r="Z78" s="40">
        <f t="shared" si="67"/>
        <v>0</v>
      </c>
      <c r="AA78" s="44">
        <f t="shared" si="68"/>
        <v>13274.046611379545</v>
      </c>
      <c r="AB78" s="35">
        <f t="shared" si="69"/>
        <v>9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1584.9362289200035</v>
      </c>
      <c r="AD78" s="57">
        <v>0</v>
      </c>
      <c r="AE78" s="57">
        <v>0</v>
      </c>
      <c r="AF78" s="61">
        <f t="shared" si="57"/>
        <v>9</v>
      </c>
      <c r="AG78" s="40">
        <f t="shared" si="70"/>
        <v>0</v>
      </c>
      <c r="AH78" s="40">
        <f t="shared" si="71"/>
        <v>0</v>
      </c>
      <c r="AI78" s="44">
        <f t="shared" si="72"/>
        <v>14264.426060280031</v>
      </c>
      <c r="AJ78" s="35">
        <f t="shared" si="58"/>
        <v>9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1699.9720609772419</v>
      </c>
      <c r="AL78" s="57">
        <v>0</v>
      </c>
      <c r="AM78" s="57">
        <v>0</v>
      </c>
      <c r="AN78" s="61">
        <f t="shared" si="59"/>
        <v>9</v>
      </c>
      <c r="AO78" s="40">
        <f t="shared" si="73"/>
        <v>0</v>
      </c>
      <c r="AP78" s="40">
        <f t="shared" si="74"/>
        <v>0</v>
      </c>
      <c r="AQ78" s="44">
        <f t="shared" si="75"/>
        <v>15299.748548795176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4</v>
      </c>
      <c r="G79" s="35">
        <f>SUMIFS(WORKING!$AC$3:$AC$6802,WORKING!$A$3:$A$6802,Results!$D$3,WORKING!$B$3:$B$6802,Results!A79,WORKING!$C$3:$C$6802,Results!C79)/1000</f>
        <v>8280.72667</v>
      </c>
      <c r="H79" s="35">
        <f t="shared" si="60"/>
        <v>2070.1816675</v>
      </c>
      <c r="I79" s="187">
        <v>1</v>
      </c>
      <c r="J79" s="212">
        <v>1938.5622858706695</v>
      </c>
      <c r="K79" s="217">
        <f t="shared" si="61"/>
        <v>1938.5622858706695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2032.3897499245297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2032.3897499245297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2186.4511373406017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2186.4511373406017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2349.9718032924875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2349.9718032924875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2520.9518666129725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2520.9518666129725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>
        <v>0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>
        <v>0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290</v>
      </c>
      <c r="G84" s="41">
        <f>SUM(G64:G83)</f>
        <v>156581.98730000001</v>
      </c>
      <c r="H84" s="41">
        <f>IFERROR(G84/F84,0)</f>
        <v>539.93788724137937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282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151743.59219233497</v>
      </c>
      <c r="K84" s="41">
        <f>IFERROR(J84/I84,"")</f>
        <v>538.09784465367011</v>
      </c>
      <c r="L84" s="41">
        <f>SUM(L64:L83)</f>
        <v>282</v>
      </c>
      <c r="M84" s="41">
        <f>IFERROR(S84/P84,0)</f>
        <v>576.84848752547782</v>
      </c>
      <c r="N84" s="41">
        <f t="shared" ref="N84:T84" si="98">SUM(N64:N83)</f>
        <v>0</v>
      </c>
      <c r="O84" s="41">
        <f t="shared" si="98"/>
        <v>11</v>
      </c>
      <c r="P84" s="41">
        <f t="shared" si="98"/>
        <v>271</v>
      </c>
      <c r="Q84" s="41">
        <f t="shared" si="98"/>
        <v>0</v>
      </c>
      <c r="R84" s="41">
        <f t="shared" si="98"/>
        <v>-6631.592953092264</v>
      </c>
      <c r="S84" s="45">
        <f t="shared" si="98"/>
        <v>156325.94011940449</v>
      </c>
      <c r="T84" s="41">
        <f t="shared" si="98"/>
        <v>271</v>
      </c>
      <c r="U84" s="41">
        <f>IFERROR(AA84/X84,0)</f>
        <v>622.85456157913768</v>
      </c>
      <c r="V84" s="41">
        <f t="shared" ref="V84:AB84" si="99">SUM(V64:V83)</f>
        <v>0</v>
      </c>
      <c r="W84" s="41">
        <f t="shared" si="99"/>
        <v>11</v>
      </c>
      <c r="X84" s="41">
        <f t="shared" si="99"/>
        <v>260</v>
      </c>
      <c r="Y84" s="41">
        <f t="shared" si="99"/>
        <v>0</v>
      </c>
      <c r="Z84" s="41">
        <f t="shared" si="99"/>
        <v>-7160.8527616363499</v>
      </c>
      <c r="AA84" s="45">
        <f t="shared" si="99"/>
        <v>161942.1860105758</v>
      </c>
      <c r="AB84" s="41">
        <f t="shared" si="99"/>
        <v>260</v>
      </c>
      <c r="AC84" s="41">
        <f>IFERROR(AI84/AF84,0)</f>
        <v>671.91178513343698</v>
      </c>
      <c r="AD84" s="41">
        <f t="shared" ref="AD84:AJ84" si="100">SUM(AD64:AD83)</f>
        <v>0</v>
      </c>
      <c r="AE84" s="41">
        <f t="shared" si="100"/>
        <v>11</v>
      </c>
      <c r="AF84" s="41">
        <f t="shared" si="100"/>
        <v>249</v>
      </c>
      <c r="AG84" s="41">
        <f t="shared" si="100"/>
        <v>0</v>
      </c>
      <c r="AH84" s="41">
        <f t="shared" si="100"/>
        <v>-7725.2442889069771</v>
      </c>
      <c r="AI84" s="45">
        <f t="shared" si="100"/>
        <v>167306.03449822581</v>
      </c>
      <c r="AJ84" s="41">
        <f t="shared" si="100"/>
        <v>249</v>
      </c>
      <c r="AK84" s="41">
        <f>IFERROR(AQ84/AN84,0)</f>
        <v>723.48596673387067</v>
      </c>
      <c r="AL84" s="41">
        <f t="shared" ref="AL84:AQ84" si="101">SUM(AL64:AL83)</f>
        <v>0</v>
      </c>
      <c r="AM84" s="41">
        <f t="shared" si="101"/>
        <v>11</v>
      </c>
      <c r="AN84" s="41">
        <f t="shared" si="101"/>
        <v>238</v>
      </c>
      <c r="AO84" s="41">
        <f t="shared" si="101"/>
        <v>0</v>
      </c>
      <c r="AP84" s="41">
        <f t="shared" si="101"/>
        <v>-8318.6155542939814</v>
      </c>
      <c r="AQ84" s="45">
        <f t="shared" si="101"/>
        <v>172189.66008266123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149820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154426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160413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172604.38800000001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-6505.9401194044913</v>
      </c>
      <c r="T86" s="39"/>
      <c r="U86" s="39"/>
      <c r="V86" s="53"/>
      <c r="W86" s="53"/>
      <c r="X86" s="110"/>
      <c r="Y86" s="39"/>
      <c r="Z86" s="39"/>
      <c r="AA86" s="54">
        <f>AA85-AA84</f>
        <v>-7516.1860105757951</v>
      </c>
      <c r="AB86" s="39"/>
      <c r="AC86" s="53"/>
      <c r="AD86" s="53"/>
      <c r="AE86" s="110"/>
      <c r="AF86" s="39"/>
      <c r="AG86" s="39"/>
      <c r="AH86" s="39"/>
      <c r="AI86" s="54">
        <f>AI85-AI84</f>
        <v>-6893.0344982258102</v>
      </c>
      <c r="AJ86" s="53"/>
      <c r="AK86" s="53"/>
      <c r="AL86" s="110"/>
      <c r="AM86" s="110"/>
      <c r="AN86" s="110"/>
      <c r="AO86" s="110"/>
      <c r="AP86" s="111"/>
      <c r="AQ86" s="54">
        <f>AQ85-AQ84</f>
        <v>414.72791733877966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Technology Innovation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>
        <v>0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0</v>
      </c>
      <c r="J93" s="212">
        <v>0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0</v>
      </c>
      <c r="J94" s="212">
        <v>0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>
        <v>0</v>
      </c>
      <c r="J95" s="212">
        <v>0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>
        <v>0</v>
      </c>
      <c r="J96" s="212">
        <v>0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>
        <v>7</v>
      </c>
      <c r="J97" s="212">
        <v>1811.6601740000001</v>
      </c>
      <c r="K97" s="217">
        <f t="shared" si="109"/>
        <v>258.80859628571432</v>
      </c>
      <c r="L97" s="34">
        <f t="shared" si="102"/>
        <v>7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277.91583568356822</v>
      </c>
      <c r="N97" s="57">
        <v>0</v>
      </c>
      <c r="O97" s="57">
        <v>0</v>
      </c>
      <c r="P97" s="61">
        <f t="shared" si="103"/>
        <v>7</v>
      </c>
      <c r="Q97" s="40">
        <f t="shared" si="110"/>
        <v>0</v>
      </c>
      <c r="R97" s="40">
        <f t="shared" si="111"/>
        <v>0</v>
      </c>
      <c r="S97" s="44">
        <f t="shared" si="112"/>
        <v>1945.4108497849775</v>
      </c>
      <c r="T97" s="35">
        <f t="shared" si="113"/>
        <v>7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297.37914853129962</v>
      </c>
      <c r="V97" s="57">
        <v>0</v>
      </c>
      <c r="W97" s="57">
        <v>0</v>
      </c>
      <c r="X97" s="61">
        <f t="shared" si="104"/>
        <v>7</v>
      </c>
      <c r="Y97" s="40">
        <f t="shared" si="114"/>
        <v>0</v>
      </c>
      <c r="Z97" s="40">
        <f t="shared" si="115"/>
        <v>0</v>
      </c>
      <c r="AA97" s="44">
        <f t="shared" si="116"/>
        <v>2081.6540397190975</v>
      </c>
      <c r="AB97" s="35">
        <f t="shared" si="117"/>
        <v>7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317.90815873917336</v>
      </c>
      <c r="AD97" s="57">
        <v>0</v>
      </c>
      <c r="AE97" s="57">
        <v>0</v>
      </c>
      <c r="AF97" s="61">
        <f t="shared" si="105"/>
        <v>7</v>
      </c>
      <c r="AG97" s="40">
        <f t="shared" si="118"/>
        <v>0</v>
      </c>
      <c r="AH97" s="40">
        <f t="shared" si="119"/>
        <v>0</v>
      </c>
      <c r="AI97" s="44">
        <f t="shared" si="120"/>
        <v>2225.3571111742135</v>
      </c>
      <c r="AJ97" s="35">
        <f t="shared" si="106"/>
        <v>7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339.21853423828748</v>
      </c>
      <c r="AL97" s="57">
        <v>0</v>
      </c>
      <c r="AM97" s="57">
        <v>0</v>
      </c>
      <c r="AN97" s="61">
        <f t="shared" si="107"/>
        <v>7</v>
      </c>
      <c r="AO97" s="40">
        <f t="shared" si="121"/>
        <v>0</v>
      </c>
      <c r="AP97" s="40">
        <f t="shared" si="122"/>
        <v>0</v>
      </c>
      <c r="AQ97" s="44">
        <f t="shared" si="123"/>
        <v>2374.5297396680126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0</v>
      </c>
      <c r="H98" s="35">
        <f t="shared" si="108"/>
        <v>0</v>
      </c>
      <c r="I98" s="187">
        <v>0</v>
      </c>
      <c r="J98" s="212">
        <v>0</v>
      </c>
      <c r="K98" s="217" t="str">
        <f t="shared" si="109"/>
        <v/>
      </c>
      <c r="L98" s="34">
        <f t="shared" si="102"/>
        <v>0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0</v>
      </c>
      <c r="N98" s="57">
        <v>0</v>
      </c>
      <c r="O98" s="57">
        <v>0</v>
      </c>
      <c r="P98" s="61">
        <f t="shared" si="103"/>
        <v>0</v>
      </c>
      <c r="Q98" s="40">
        <f t="shared" si="110"/>
        <v>0</v>
      </c>
      <c r="R98" s="40">
        <f t="shared" si="111"/>
        <v>0</v>
      </c>
      <c r="S98" s="44">
        <f t="shared" si="112"/>
        <v>0</v>
      </c>
      <c r="T98" s="35">
        <f t="shared" si="113"/>
        <v>0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0</v>
      </c>
      <c r="V98" s="57">
        <v>0</v>
      </c>
      <c r="W98" s="57">
        <v>0</v>
      </c>
      <c r="X98" s="61">
        <f t="shared" si="104"/>
        <v>0</v>
      </c>
      <c r="Y98" s="40">
        <f t="shared" si="114"/>
        <v>0</v>
      </c>
      <c r="Z98" s="40">
        <f t="shared" si="115"/>
        <v>0</v>
      </c>
      <c r="AA98" s="44">
        <f t="shared" si="116"/>
        <v>0</v>
      </c>
      <c r="AB98" s="35">
        <f t="shared" si="117"/>
        <v>0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0</v>
      </c>
      <c r="AD98" s="57">
        <v>0</v>
      </c>
      <c r="AE98" s="57">
        <v>0</v>
      </c>
      <c r="AF98" s="61">
        <f t="shared" si="105"/>
        <v>0</v>
      </c>
      <c r="AG98" s="40">
        <f t="shared" si="118"/>
        <v>0</v>
      </c>
      <c r="AH98" s="40">
        <f t="shared" si="119"/>
        <v>0</v>
      </c>
      <c r="AI98" s="44">
        <f t="shared" si="120"/>
        <v>0</v>
      </c>
      <c r="AJ98" s="35">
        <f t="shared" si="106"/>
        <v>0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0</v>
      </c>
      <c r="AL98" s="57">
        <v>0</v>
      </c>
      <c r="AM98" s="57">
        <v>0</v>
      </c>
      <c r="AN98" s="61">
        <f t="shared" si="107"/>
        <v>0</v>
      </c>
      <c r="AO98" s="40">
        <f t="shared" si="121"/>
        <v>0</v>
      </c>
      <c r="AP98" s="40">
        <f t="shared" si="122"/>
        <v>0</v>
      </c>
      <c r="AQ98" s="44">
        <f t="shared" si="123"/>
        <v>0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>
        <v>6</v>
      </c>
      <c r="J99" s="212">
        <v>2071.1999999999998</v>
      </c>
      <c r="K99" s="217">
        <f t="shared" si="109"/>
        <v>345.2</v>
      </c>
      <c r="L99" s="34">
        <f t="shared" si="102"/>
        <v>6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370.68531669658159</v>
      </c>
      <c r="N99" s="57">
        <v>0</v>
      </c>
      <c r="O99" s="57">
        <v>1</v>
      </c>
      <c r="P99" s="61">
        <f t="shared" si="103"/>
        <v>5</v>
      </c>
      <c r="Q99" s="40">
        <f t="shared" si="110"/>
        <v>0</v>
      </c>
      <c r="R99" s="40">
        <f t="shared" si="111"/>
        <v>-370.68531669658159</v>
      </c>
      <c r="S99" s="44">
        <f t="shared" si="112"/>
        <v>1853.426583482908</v>
      </c>
      <c r="T99" s="35">
        <f t="shared" si="113"/>
        <v>5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396.64556566613152</v>
      </c>
      <c r="V99" s="57">
        <v>0</v>
      </c>
      <c r="W99" s="57">
        <v>1</v>
      </c>
      <c r="X99" s="61">
        <f t="shared" si="104"/>
        <v>4</v>
      </c>
      <c r="Y99" s="40">
        <f t="shared" si="114"/>
        <v>0</v>
      </c>
      <c r="Z99" s="40">
        <f t="shared" si="115"/>
        <v>-396.64556566613152</v>
      </c>
      <c r="AA99" s="44">
        <f t="shared" si="116"/>
        <v>1586.5822626645261</v>
      </c>
      <c r="AB99" s="35">
        <f t="shared" si="117"/>
        <v>4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424.02724628053693</v>
      </c>
      <c r="AD99" s="57">
        <v>0</v>
      </c>
      <c r="AE99" s="57">
        <v>1</v>
      </c>
      <c r="AF99" s="61">
        <f t="shared" si="105"/>
        <v>3</v>
      </c>
      <c r="AG99" s="40">
        <f t="shared" si="118"/>
        <v>0</v>
      </c>
      <c r="AH99" s="40">
        <f t="shared" si="119"/>
        <v>-424.02724628053693</v>
      </c>
      <c r="AI99" s="44">
        <f t="shared" si="120"/>
        <v>1272.0817388416108</v>
      </c>
      <c r="AJ99" s="35">
        <f t="shared" si="106"/>
        <v>3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452.45111522410588</v>
      </c>
      <c r="AL99" s="57">
        <v>0</v>
      </c>
      <c r="AM99" s="57">
        <v>1</v>
      </c>
      <c r="AN99" s="61">
        <f t="shared" si="107"/>
        <v>2</v>
      </c>
      <c r="AO99" s="40">
        <f t="shared" si="121"/>
        <v>0</v>
      </c>
      <c r="AP99" s="40">
        <f t="shared" si="122"/>
        <v>-452.45111522410588</v>
      </c>
      <c r="AQ99" s="44">
        <f t="shared" si="123"/>
        <v>904.90223044821175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>
        <v>0</v>
      </c>
      <c r="J100" s="212">
        <v>0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>
        <v>1</v>
      </c>
      <c r="J101" s="212">
        <v>544.59617576923074</v>
      </c>
      <c r="K101" s="217">
        <f t="shared" si="109"/>
        <v>544.59617576923074</v>
      </c>
      <c r="L101" s="34">
        <f t="shared" si="102"/>
        <v>1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584.80245042515787</v>
      </c>
      <c r="N101" s="57">
        <v>0</v>
      </c>
      <c r="O101" s="57">
        <v>0</v>
      </c>
      <c r="P101" s="61">
        <f t="shared" si="103"/>
        <v>1</v>
      </c>
      <c r="Q101" s="40">
        <f t="shared" si="110"/>
        <v>0</v>
      </c>
      <c r="R101" s="40">
        <f t="shared" si="111"/>
        <v>0</v>
      </c>
      <c r="S101" s="44">
        <f t="shared" si="112"/>
        <v>584.80245042515787</v>
      </c>
      <c r="T101" s="35">
        <f t="shared" si="113"/>
        <v>1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625.75799014368056</v>
      </c>
      <c r="V101" s="57">
        <v>0</v>
      </c>
      <c r="W101" s="57">
        <v>0</v>
      </c>
      <c r="X101" s="61">
        <f t="shared" si="104"/>
        <v>1</v>
      </c>
      <c r="Y101" s="40">
        <f t="shared" si="114"/>
        <v>0</v>
      </c>
      <c r="Z101" s="40">
        <f t="shared" si="115"/>
        <v>0</v>
      </c>
      <c r="AA101" s="44">
        <f t="shared" si="116"/>
        <v>625.75799014368056</v>
      </c>
      <c r="AB101" s="35">
        <f t="shared" si="117"/>
        <v>1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668.95601606702837</v>
      </c>
      <c r="AD101" s="57">
        <v>0</v>
      </c>
      <c r="AE101" s="57">
        <v>0</v>
      </c>
      <c r="AF101" s="61">
        <f t="shared" si="105"/>
        <v>1</v>
      </c>
      <c r="AG101" s="40">
        <f t="shared" si="118"/>
        <v>0</v>
      </c>
      <c r="AH101" s="40">
        <f t="shared" si="119"/>
        <v>0</v>
      </c>
      <c r="AI101" s="44">
        <f t="shared" si="120"/>
        <v>668.95601606702837</v>
      </c>
      <c r="AJ101" s="35">
        <f t="shared" si="106"/>
        <v>1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713.79822443097237</v>
      </c>
      <c r="AL101" s="57">
        <v>0</v>
      </c>
      <c r="AM101" s="57">
        <v>0</v>
      </c>
      <c r="AN101" s="61">
        <f t="shared" si="107"/>
        <v>1</v>
      </c>
      <c r="AO101" s="40">
        <f t="shared" si="121"/>
        <v>0</v>
      </c>
      <c r="AP101" s="40">
        <f t="shared" si="122"/>
        <v>0</v>
      </c>
      <c r="AQ101" s="44">
        <f t="shared" si="123"/>
        <v>713.79822443097237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>
        <v>9</v>
      </c>
      <c r="J102" s="212">
        <v>5058.8142248571403</v>
      </c>
      <c r="K102" s="217">
        <f t="shared" si="109"/>
        <v>562.09046942857117</v>
      </c>
      <c r="L102" s="34">
        <f t="shared" si="102"/>
        <v>9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604.8093451051426</v>
      </c>
      <c r="N102" s="57">
        <v>0</v>
      </c>
      <c r="O102" s="57">
        <v>0</v>
      </c>
      <c r="P102" s="61">
        <f t="shared" si="103"/>
        <v>9</v>
      </c>
      <c r="Q102" s="40">
        <f t="shared" si="110"/>
        <v>0</v>
      </c>
      <c r="R102" s="40">
        <f t="shared" si="111"/>
        <v>0</v>
      </c>
      <c r="S102" s="44">
        <f t="shared" si="112"/>
        <v>5443.2841059462835</v>
      </c>
      <c r="T102" s="35">
        <f t="shared" si="113"/>
        <v>9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647.14599926250264</v>
      </c>
      <c r="V102" s="57">
        <v>0</v>
      </c>
      <c r="W102" s="57">
        <v>0</v>
      </c>
      <c r="X102" s="61">
        <f t="shared" si="104"/>
        <v>9</v>
      </c>
      <c r="Y102" s="40">
        <f t="shared" si="114"/>
        <v>0</v>
      </c>
      <c r="Z102" s="40">
        <f t="shared" si="115"/>
        <v>0</v>
      </c>
      <c r="AA102" s="44">
        <f t="shared" si="116"/>
        <v>5824.3139933625234</v>
      </c>
      <c r="AB102" s="35">
        <f t="shared" si="117"/>
        <v>9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691.79907321161534</v>
      </c>
      <c r="AD102" s="57">
        <v>0</v>
      </c>
      <c r="AE102" s="57">
        <v>0</v>
      </c>
      <c r="AF102" s="61">
        <f t="shared" si="105"/>
        <v>9</v>
      </c>
      <c r="AG102" s="40">
        <f t="shared" si="118"/>
        <v>0</v>
      </c>
      <c r="AH102" s="40">
        <f t="shared" si="119"/>
        <v>0</v>
      </c>
      <c r="AI102" s="44">
        <f t="shared" si="120"/>
        <v>6226.1916589045377</v>
      </c>
      <c r="AJ102" s="35">
        <f t="shared" si="106"/>
        <v>9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738.14961111679349</v>
      </c>
      <c r="AL102" s="57">
        <v>0</v>
      </c>
      <c r="AM102" s="57">
        <v>0</v>
      </c>
      <c r="AN102" s="61">
        <f t="shared" si="107"/>
        <v>9</v>
      </c>
      <c r="AO102" s="40">
        <f t="shared" si="121"/>
        <v>0</v>
      </c>
      <c r="AP102" s="40">
        <f t="shared" si="122"/>
        <v>0</v>
      </c>
      <c r="AQ102" s="44">
        <f t="shared" si="123"/>
        <v>6643.3465000511414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>
        <v>12</v>
      </c>
      <c r="J103" s="212">
        <v>9571.6411006451635</v>
      </c>
      <c r="K103" s="217">
        <f t="shared" si="109"/>
        <v>797.63675838709696</v>
      </c>
      <c r="L103" s="34">
        <f t="shared" si="102"/>
        <v>12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858.25715202451636</v>
      </c>
      <c r="N103" s="57">
        <v>0</v>
      </c>
      <c r="O103" s="57">
        <v>0</v>
      </c>
      <c r="P103" s="61">
        <f t="shared" si="103"/>
        <v>12</v>
      </c>
      <c r="Q103" s="40">
        <f t="shared" si="110"/>
        <v>0</v>
      </c>
      <c r="R103" s="40">
        <f t="shared" si="111"/>
        <v>0</v>
      </c>
      <c r="S103" s="44">
        <f t="shared" si="112"/>
        <v>10299.085824294196</v>
      </c>
      <c r="T103" s="35">
        <f t="shared" si="113"/>
        <v>12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918.3351526662326</v>
      </c>
      <c r="V103" s="57">
        <v>0</v>
      </c>
      <c r="W103" s="57">
        <v>0</v>
      </c>
      <c r="X103" s="61">
        <f t="shared" si="104"/>
        <v>12</v>
      </c>
      <c r="Y103" s="40">
        <f t="shared" si="114"/>
        <v>0</v>
      </c>
      <c r="Z103" s="40">
        <f t="shared" si="115"/>
        <v>0</v>
      </c>
      <c r="AA103" s="44">
        <f t="shared" si="116"/>
        <v>11020.021831994791</v>
      </c>
      <c r="AB103" s="35">
        <f t="shared" si="117"/>
        <v>12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981.70027820020266</v>
      </c>
      <c r="AD103" s="57">
        <v>0</v>
      </c>
      <c r="AE103" s="57">
        <v>0</v>
      </c>
      <c r="AF103" s="61">
        <f t="shared" si="105"/>
        <v>12</v>
      </c>
      <c r="AG103" s="40">
        <f t="shared" si="118"/>
        <v>0</v>
      </c>
      <c r="AH103" s="40">
        <f t="shared" si="119"/>
        <v>0</v>
      </c>
      <c r="AI103" s="44">
        <f t="shared" si="120"/>
        <v>11780.403338402431</v>
      </c>
      <c r="AJ103" s="35">
        <f t="shared" si="106"/>
        <v>12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1047.4741968396163</v>
      </c>
      <c r="AL103" s="57">
        <v>0</v>
      </c>
      <c r="AM103" s="57">
        <v>0</v>
      </c>
      <c r="AN103" s="61">
        <f t="shared" si="107"/>
        <v>12</v>
      </c>
      <c r="AO103" s="40">
        <f t="shared" si="121"/>
        <v>0</v>
      </c>
      <c r="AP103" s="40">
        <f t="shared" si="122"/>
        <v>0</v>
      </c>
      <c r="AQ103" s="44">
        <f t="shared" si="123"/>
        <v>12569.690362075395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0</v>
      </c>
      <c r="G104" s="35">
        <f>SUMIFS(WORKING!$AC$3:$AC$6802,WORKING!$A$3:$A$6802,Results!$D$3,WORKING!$B$3:$B$6802,Results!A104,WORKING!$C$3:$C$6802,Results!C104)/1000</f>
        <v>0</v>
      </c>
      <c r="H104" s="35">
        <f t="shared" si="108"/>
        <v>0</v>
      </c>
      <c r="I104" s="187">
        <v>15</v>
      </c>
      <c r="J104" s="212">
        <v>14310</v>
      </c>
      <c r="K104" s="217">
        <f t="shared" si="109"/>
        <v>954</v>
      </c>
      <c r="L104" s="34">
        <f t="shared" si="102"/>
        <v>15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985.48199999999997</v>
      </c>
      <c r="N104" s="57">
        <v>0</v>
      </c>
      <c r="O104" s="57">
        <v>0</v>
      </c>
      <c r="P104" s="61">
        <f t="shared" si="103"/>
        <v>15</v>
      </c>
      <c r="Q104" s="40">
        <f t="shared" si="110"/>
        <v>0</v>
      </c>
      <c r="R104" s="40">
        <f t="shared" si="111"/>
        <v>0</v>
      </c>
      <c r="S104" s="44">
        <f t="shared" si="112"/>
        <v>14782.23</v>
      </c>
      <c r="T104" s="35">
        <f t="shared" si="113"/>
        <v>15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1044.6109200000001</v>
      </c>
      <c r="V104" s="57">
        <v>0</v>
      </c>
      <c r="W104" s="57">
        <v>0</v>
      </c>
      <c r="X104" s="61">
        <f t="shared" si="104"/>
        <v>15</v>
      </c>
      <c r="Y104" s="40">
        <f t="shared" si="114"/>
        <v>0</v>
      </c>
      <c r="Z104" s="40">
        <f t="shared" si="115"/>
        <v>0</v>
      </c>
      <c r="AA104" s="44">
        <f t="shared" si="116"/>
        <v>15669.163800000002</v>
      </c>
      <c r="AB104" s="35">
        <f t="shared" si="117"/>
        <v>15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1106.24296428</v>
      </c>
      <c r="AD104" s="57">
        <v>0</v>
      </c>
      <c r="AE104" s="57">
        <v>0</v>
      </c>
      <c r="AF104" s="61">
        <f t="shared" si="105"/>
        <v>15</v>
      </c>
      <c r="AG104" s="40">
        <f t="shared" si="118"/>
        <v>0</v>
      </c>
      <c r="AH104" s="40">
        <f t="shared" si="119"/>
        <v>0</v>
      </c>
      <c r="AI104" s="44">
        <f t="shared" si="120"/>
        <v>16593.644464199999</v>
      </c>
      <c r="AJ104" s="35">
        <f t="shared" si="106"/>
        <v>15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1169.29881324396</v>
      </c>
      <c r="AL104" s="57">
        <v>0</v>
      </c>
      <c r="AM104" s="57">
        <v>0</v>
      </c>
      <c r="AN104" s="61">
        <f t="shared" si="107"/>
        <v>15</v>
      </c>
      <c r="AO104" s="40">
        <f t="shared" si="121"/>
        <v>0</v>
      </c>
      <c r="AP104" s="40">
        <f t="shared" si="122"/>
        <v>0</v>
      </c>
      <c r="AQ104" s="44">
        <f t="shared" si="123"/>
        <v>17539.4821986594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0</v>
      </c>
      <c r="G105" s="35">
        <f>SUMIFS(WORKING!$AC$3:$AC$6802,WORKING!$A$3:$A$6802,Results!$D$3,WORKING!$B$3:$B$6802,Results!A105,WORKING!$C$3:$C$6802,Results!C105)/1000</f>
        <v>0</v>
      </c>
      <c r="H105" s="35">
        <f t="shared" si="108"/>
        <v>0</v>
      </c>
      <c r="I105" s="187">
        <v>5</v>
      </c>
      <c r="J105" s="212">
        <v>6476.1854444444452</v>
      </c>
      <c r="K105" s="217">
        <f t="shared" si="109"/>
        <v>1295.237088888889</v>
      </c>
      <c r="L105" s="34">
        <f t="shared" si="102"/>
        <v>5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1337.9799128222223</v>
      </c>
      <c r="N105" s="57">
        <v>0</v>
      </c>
      <c r="O105" s="57">
        <v>0</v>
      </c>
      <c r="P105" s="61">
        <f t="shared" si="103"/>
        <v>5</v>
      </c>
      <c r="Q105" s="40">
        <f t="shared" si="110"/>
        <v>0</v>
      </c>
      <c r="R105" s="40">
        <f t="shared" si="111"/>
        <v>0</v>
      </c>
      <c r="S105" s="44">
        <f t="shared" si="112"/>
        <v>6689.8995641111114</v>
      </c>
      <c r="T105" s="35">
        <f t="shared" si="113"/>
        <v>5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1418.2587075915558</v>
      </c>
      <c r="V105" s="57">
        <v>0</v>
      </c>
      <c r="W105" s="57">
        <v>0</v>
      </c>
      <c r="X105" s="61">
        <f t="shared" si="104"/>
        <v>5</v>
      </c>
      <c r="Y105" s="40">
        <f t="shared" si="114"/>
        <v>0</v>
      </c>
      <c r="Z105" s="40">
        <f t="shared" si="115"/>
        <v>0</v>
      </c>
      <c r="AA105" s="44">
        <f t="shared" si="116"/>
        <v>7091.2935379577793</v>
      </c>
      <c r="AB105" s="35">
        <f t="shared" si="117"/>
        <v>5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1501.9359713394574</v>
      </c>
      <c r="AD105" s="57">
        <v>0</v>
      </c>
      <c r="AE105" s="57">
        <v>0</v>
      </c>
      <c r="AF105" s="61">
        <f t="shared" si="105"/>
        <v>5</v>
      </c>
      <c r="AG105" s="40">
        <f t="shared" si="118"/>
        <v>0</v>
      </c>
      <c r="AH105" s="40">
        <f t="shared" si="119"/>
        <v>0</v>
      </c>
      <c r="AI105" s="44">
        <f t="shared" si="120"/>
        <v>7509.6798566972866</v>
      </c>
      <c r="AJ105" s="35">
        <f t="shared" si="106"/>
        <v>5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1587.5463217058063</v>
      </c>
      <c r="AL105" s="57">
        <v>0</v>
      </c>
      <c r="AM105" s="57">
        <v>0</v>
      </c>
      <c r="AN105" s="61">
        <f t="shared" si="107"/>
        <v>5</v>
      </c>
      <c r="AO105" s="40">
        <f t="shared" si="121"/>
        <v>0</v>
      </c>
      <c r="AP105" s="40">
        <f t="shared" si="122"/>
        <v>0</v>
      </c>
      <c r="AQ105" s="44">
        <f t="shared" si="123"/>
        <v>7937.7316085290313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>
        <v>0</v>
      </c>
      <c r="J106" s="212">
        <v>0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>
        <v>0</v>
      </c>
      <c r="J107" s="212">
        <v>0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>
        <v>0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>
        <v>0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0</v>
      </c>
      <c r="G112" s="41">
        <f>SUM(G92:G111)</f>
        <v>0</v>
      </c>
      <c r="H112" s="41">
        <f>IFERROR(G112/F112,0)</f>
        <v>0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55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39844.097119715982</v>
      </c>
      <c r="K112" s="41">
        <f>IFERROR(J112/I112,"")</f>
        <v>724.43812944938145</v>
      </c>
      <c r="L112" s="41">
        <f>SUM(L92:L111)</f>
        <v>55</v>
      </c>
      <c r="M112" s="41">
        <f>IFERROR(S112/P112,0)</f>
        <v>770.33591440823409</v>
      </c>
      <c r="N112" s="41">
        <f t="shared" ref="N112:T112" si="124">SUM(N92:N111)</f>
        <v>0</v>
      </c>
      <c r="O112" s="41">
        <f t="shared" si="124"/>
        <v>1</v>
      </c>
      <c r="P112" s="41">
        <f t="shared" si="124"/>
        <v>54</v>
      </c>
      <c r="Q112" s="41">
        <f t="shared" si="124"/>
        <v>0</v>
      </c>
      <c r="R112" s="41">
        <f t="shared" si="124"/>
        <v>-370.68531669658159</v>
      </c>
      <c r="S112" s="45">
        <f t="shared" si="124"/>
        <v>41598.139378044638</v>
      </c>
      <c r="T112" s="41">
        <f t="shared" si="124"/>
        <v>54</v>
      </c>
      <c r="U112" s="41">
        <f>IFERROR(AA112/X112,0)</f>
        <v>828.2790086007999</v>
      </c>
      <c r="V112" s="41">
        <f t="shared" ref="V112:AB112" si="125">SUM(V92:V111)</f>
        <v>0</v>
      </c>
      <c r="W112" s="41">
        <f t="shared" si="125"/>
        <v>1</v>
      </c>
      <c r="X112" s="41">
        <f t="shared" si="125"/>
        <v>53</v>
      </c>
      <c r="Y112" s="41">
        <f t="shared" si="125"/>
        <v>0</v>
      </c>
      <c r="Z112" s="41">
        <f t="shared" si="125"/>
        <v>-396.64556566613152</v>
      </c>
      <c r="AA112" s="45">
        <f t="shared" si="125"/>
        <v>43898.787455842394</v>
      </c>
      <c r="AB112" s="41">
        <f t="shared" si="125"/>
        <v>53</v>
      </c>
      <c r="AC112" s="41">
        <f>IFERROR(AI112/AF112,0)</f>
        <v>889.9291189285982</v>
      </c>
      <c r="AD112" s="41">
        <f t="shared" ref="AD112:AJ112" si="126">SUM(AD92:AD111)</f>
        <v>0</v>
      </c>
      <c r="AE112" s="41">
        <f t="shared" si="126"/>
        <v>1</v>
      </c>
      <c r="AF112" s="41">
        <f t="shared" si="126"/>
        <v>52</v>
      </c>
      <c r="AG112" s="41">
        <f t="shared" si="126"/>
        <v>0</v>
      </c>
      <c r="AH112" s="41">
        <f t="shared" si="126"/>
        <v>-424.02724628053693</v>
      </c>
      <c r="AI112" s="45">
        <f t="shared" si="126"/>
        <v>46276.314184287105</v>
      </c>
      <c r="AJ112" s="41">
        <f t="shared" si="126"/>
        <v>52</v>
      </c>
      <c r="AK112" s="41">
        <f>IFERROR(AQ112/AN112,0)</f>
        <v>954.57805615415998</v>
      </c>
      <c r="AL112" s="41">
        <f t="shared" ref="AL112:AQ112" si="127">SUM(AL92:AL111)</f>
        <v>0</v>
      </c>
      <c r="AM112" s="41">
        <f t="shared" si="127"/>
        <v>1</v>
      </c>
      <c r="AN112" s="41">
        <f t="shared" si="127"/>
        <v>51</v>
      </c>
      <c r="AO112" s="41">
        <f t="shared" si="127"/>
        <v>0</v>
      </c>
      <c r="AP112" s="41">
        <f t="shared" si="127"/>
        <v>-452.45111522410588</v>
      </c>
      <c r="AQ112" s="45">
        <f t="shared" si="127"/>
        <v>48683.480863862162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43543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44937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46681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50228.756000000001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1944.8606219553621</v>
      </c>
      <c r="T114" s="39"/>
      <c r="U114" s="39"/>
      <c r="V114" s="53"/>
      <c r="W114" s="53"/>
      <c r="X114" s="110"/>
      <c r="Y114" s="39"/>
      <c r="Z114" s="39"/>
      <c r="AA114" s="54">
        <f>AA113-AA112</f>
        <v>1038.2125441576063</v>
      </c>
      <c r="AB114" s="39"/>
      <c r="AC114" s="53"/>
      <c r="AD114" s="53"/>
      <c r="AE114" s="110"/>
      <c r="AF114" s="39"/>
      <c r="AG114" s="39"/>
      <c r="AH114" s="39"/>
      <c r="AI114" s="54">
        <f>AI113-AI112</f>
        <v>404.68581571289542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1545.2751361378396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International Cooperation and Resources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>
        <v>0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0</v>
      </c>
      <c r="J121" s="212">
        <v>0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0</v>
      </c>
      <c r="J122" s="212">
        <v>0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>
        <v>0</v>
      </c>
      <c r="J123" s="212">
        <v>0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>
        <v>0</v>
      </c>
      <c r="J124" s="212">
        <v>0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4</v>
      </c>
      <c r="G125" s="35">
        <f>SUMIFS(WORKING!$AC$3:$AC$6802,WORKING!$A$3:$A$6802,Results!$D$3,WORKING!$B$3:$B$6802,Results!A125,WORKING!$C$3:$C$6802,Results!C125)/1000</f>
        <v>832.72183000000007</v>
      </c>
      <c r="H125" s="35">
        <f t="shared" si="134"/>
        <v>208.18045750000002</v>
      </c>
      <c r="I125" s="187">
        <v>3</v>
      </c>
      <c r="J125" s="212">
        <v>877.31043091747506</v>
      </c>
      <c r="K125" s="217">
        <f t="shared" si="135"/>
        <v>292.43681030582502</v>
      </c>
      <c r="L125" s="34">
        <f t="shared" si="128"/>
        <v>3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317.98356591860119</v>
      </c>
      <c r="N125" s="57">
        <v>0</v>
      </c>
      <c r="O125" s="57">
        <v>0</v>
      </c>
      <c r="P125" s="61">
        <f t="shared" si="129"/>
        <v>3</v>
      </c>
      <c r="Q125" s="40">
        <f t="shared" si="136"/>
        <v>0</v>
      </c>
      <c r="R125" s="40">
        <f t="shared" si="137"/>
        <v>0</v>
      </c>
      <c r="S125" s="44">
        <f t="shared" si="138"/>
        <v>953.9506977558035</v>
      </c>
      <c r="T125" s="35">
        <f t="shared" si="139"/>
        <v>3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344.90847203453137</v>
      </c>
      <c r="V125" s="57">
        <v>0</v>
      </c>
      <c r="W125" s="57">
        <v>0</v>
      </c>
      <c r="X125" s="61">
        <f t="shared" si="130"/>
        <v>3</v>
      </c>
      <c r="Y125" s="40">
        <f t="shared" si="140"/>
        <v>0</v>
      </c>
      <c r="Z125" s="40">
        <f t="shared" si="141"/>
        <v>0</v>
      </c>
      <c r="AA125" s="44">
        <f t="shared" si="142"/>
        <v>1034.7254161035942</v>
      </c>
      <c r="AB125" s="35">
        <f t="shared" si="143"/>
        <v>3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373.76386703172597</v>
      </c>
      <c r="AD125" s="57">
        <v>0</v>
      </c>
      <c r="AE125" s="57">
        <v>0</v>
      </c>
      <c r="AF125" s="61">
        <f t="shared" si="131"/>
        <v>3</v>
      </c>
      <c r="AG125" s="40">
        <f t="shared" si="144"/>
        <v>0</v>
      </c>
      <c r="AH125" s="40">
        <f t="shared" si="145"/>
        <v>0</v>
      </c>
      <c r="AI125" s="44">
        <f t="shared" si="146"/>
        <v>1121.2916010951778</v>
      </c>
      <c r="AJ125" s="35">
        <f t="shared" si="132"/>
        <v>3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404.27618484729743</v>
      </c>
      <c r="AL125" s="57">
        <v>0</v>
      </c>
      <c r="AM125" s="57">
        <v>0</v>
      </c>
      <c r="AN125" s="61">
        <f t="shared" si="133"/>
        <v>3</v>
      </c>
      <c r="AO125" s="40">
        <f t="shared" si="147"/>
        <v>0</v>
      </c>
      <c r="AP125" s="40">
        <f t="shared" si="148"/>
        <v>0</v>
      </c>
      <c r="AQ125" s="44">
        <f t="shared" si="149"/>
        <v>1212.8285545418923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3</v>
      </c>
      <c r="G126" s="35">
        <f>SUMIFS(WORKING!$AC$3:$AC$6802,WORKING!$A$3:$A$6802,Results!$D$3,WORKING!$B$3:$B$6802,Results!A126,WORKING!$C$3:$C$6802,Results!C126)/1000</f>
        <v>528.11530000000005</v>
      </c>
      <c r="H126" s="35">
        <f t="shared" si="134"/>
        <v>176.03843333333336</v>
      </c>
      <c r="I126" s="187">
        <v>2</v>
      </c>
      <c r="J126" s="212">
        <v>757.95625357164374</v>
      </c>
      <c r="K126" s="217">
        <f t="shared" si="135"/>
        <v>378.97812678582187</v>
      </c>
      <c r="L126" s="34">
        <f t="shared" si="128"/>
        <v>2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412.58044787281187</v>
      </c>
      <c r="N126" s="57">
        <v>0</v>
      </c>
      <c r="O126" s="57">
        <v>1</v>
      </c>
      <c r="P126" s="61">
        <f t="shared" si="129"/>
        <v>1</v>
      </c>
      <c r="Q126" s="40">
        <f t="shared" si="136"/>
        <v>0</v>
      </c>
      <c r="R126" s="40">
        <f t="shared" si="137"/>
        <v>-412.58044787281187</v>
      </c>
      <c r="S126" s="44">
        <f t="shared" si="138"/>
        <v>412.58044787281187</v>
      </c>
      <c r="T126" s="35">
        <f t="shared" si="139"/>
        <v>1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447.67019716800417</v>
      </c>
      <c r="V126" s="57">
        <v>0</v>
      </c>
      <c r="W126" s="57">
        <v>1</v>
      </c>
      <c r="X126" s="61">
        <f t="shared" si="130"/>
        <v>0</v>
      </c>
      <c r="Y126" s="40">
        <f t="shared" si="140"/>
        <v>0</v>
      </c>
      <c r="Z126" s="40">
        <f t="shared" si="141"/>
        <v>-447.67019716800417</v>
      </c>
      <c r="AA126" s="44">
        <f t="shared" si="142"/>
        <v>0</v>
      </c>
      <c r="AB126" s="35">
        <f t="shared" si="143"/>
        <v>0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485.29063636199209</v>
      </c>
      <c r="AD126" s="57">
        <v>0</v>
      </c>
      <c r="AE126" s="57">
        <v>0</v>
      </c>
      <c r="AF126" s="61">
        <f t="shared" si="131"/>
        <v>0</v>
      </c>
      <c r="AG126" s="40">
        <f t="shared" si="144"/>
        <v>0</v>
      </c>
      <c r="AH126" s="40">
        <f t="shared" si="145"/>
        <v>0</v>
      </c>
      <c r="AI126" s="44">
        <f t="shared" si="146"/>
        <v>0</v>
      </c>
      <c r="AJ126" s="35">
        <f t="shared" si="132"/>
        <v>0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525.08894942366624</v>
      </c>
      <c r="AL126" s="57">
        <v>0</v>
      </c>
      <c r="AM126" s="57">
        <v>0</v>
      </c>
      <c r="AN126" s="61">
        <f t="shared" si="133"/>
        <v>0</v>
      </c>
      <c r="AO126" s="40">
        <f t="shared" si="147"/>
        <v>0</v>
      </c>
      <c r="AP126" s="40">
        <f t="shared" si="148"/>
        <v>0</v>
      </c>
      <c r="AQ126" s="44">
        <f t="shared" si="149"/>
        <v>0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5</v>
      </c>
      <c r="G127" s="35">
        <f>SUMIFS(WORKING!$AC$3:$AC$6802,WORKING!$A$3:$A$6802,Results!$D$3,WORKING!$B$3:$B$6802,Results!A127,WORKING!$C$3:$C$6802,Results!C127)/1000</f>
        <v>1674.4729</v>
      </c>
      <c r="H127" s="35">
        <f t="shared" si="134"/>
        <v>334.89458000000002</v>
      </c>
      <c r="I127" s="187">
        <v>6</v>
      </c>
      <c r="J127" s="212">
        <v>2236.1819833201071</v>
      </c>
      <c r="K127" s="217">
        <f t="shared" si="135"/>
        <v>372.69699722001786</v>
      </c>
      <c r="L127" s="34">
        <f t="shared" si="128"/>
        <v>6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406.24206541235111</v>
      </c>
      <c r="N127" s="57">
        <v>0</v>
      </c>
      <c r="O127" s="57">
        <v>0</v>
      </c>
      <c r="P127" s="61">
        <f t="shared" si="129"/>
        <v>6</v>
      </c>
      <c r="Q127" s="40">
        <f t="shared" si="136"/>
        <v>0</v>
      </c>
      <c r="R127" s="40">
        <f t="shared" si="137"/>
        <v>0</v>
      </c>
      <c r="S127" s="44">
        <f t="shared" si="138"/>
        <v>2437.4523924741065</v>
      </c>
      <c r="T127" s="35">
        <f t="shared" si="139"/>
        <v>6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440.95000779365455</v>
      </c>
      <c r="V127" s="57">
        <v>0</v>
      </c>
      <c r="W127" s="57">
        <v>0</v>
      </c>
      <c r="X127" s="61">
        <f t="shared" si="130"/>
        <v>6</v>
      </c>
      <c r="Y127" s="40">
        <f t="shared" si="140"/>
        <v>0</v>
      </c>
      <c r="Z127" s="40">
        <f t="shared" si="141"/>
        <v>0</v>
      </c>
      <c r="AA127" s="44">
        <f t="shared" si="142"/>
        <v>2645.7000467619273</v>
      </c>
      <c r="AB127" s="35">
        <f t="shared" si="143"/>
        <v>6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478.17612189087629</v>
      </c>
      <c r="AD127" s="57">
        <v>0</v>
      </c>
      <c r="AE127" s="57">
        <v>0</v>
      </c>
      <c r="AF127" s="61">
        <f t="shared" si="131"/>
        <v>6</v>
      </c>
      <c r="AG127" s="40">
        <f t="shared" si="144"/>
        <v>0</v>
      </c>
      <c r="AH127" s="40">
        <f t="shared" si="145"/>
        <v>0</v>
      </c>
      <c r="AI127" s="44">
        <f t="shared" si="146"/>
        <v>2869.0567313452575</v>
      </c>
      <c r="AJ127" s="35">
        <f t="shared" si="132"/>
        <v>6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517.57514436428687</v>
      </c>
      <c r="AL127" s="57">
        <v>0</v>
      </c>
      <c r="AM127" s="57">
        <v>0</v>
      </c>
      <c r="AN127" s="61">
        <f t="shared" si="133"/>
        <v>6</v>
      </c>
      <c r="AO127" s="40">
        <f t="shared" si="147"/>
        <v>0</v>
      </c>
      <c r="AP127" s="40">
        <f t="shared" si="148"/>
        <v>0</v>
      </c>
      <c r="AQ127" s="44">
        <f t="shared" si="149"/>
        <v>3105.4508661857212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14</v>
      </c>
      <c r="G128" s="35">
        <f>SUMIFS(WORKING!$AC$3:$AC$6802,WORKING!$A$3:$A$6802,Results!$D$3,WORKING!$B$3:$B$6802,Results!A128,WORKING!$C$3:$C$6802,Results!C128)/1000</f>
        <v>5380.9567799999995</v>
      </c>
      <c r="H128" s="35">
        <f t="shared" si="134"/>
        <v>384.35405571428566</v>
      </c>
      <c r="I128" s="187">
        <v>13</v>
      </c>
      <c r="J128" s="212">
        <v>5520.9824265861789</v>
      </c>
      <c r="K128" s="217">
        <f t="shared" si="135"/>
        <v>424.69095589124453</v>
      </c>
      <c r="L128" s="34">
        <f t="shared" si="128"/>
        <v>13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462.71192517037343</v>
      </c>
      <c r="N128" s="57">
        <v>0</v>
      </c>
      <c r="O128" s="57">
        <v>0</v>
      </c>
      <c r="P128" s="61">
        <f t="shared" si="129"/>
        <v>13</v>
      </c>
      <c r="Q128" s="40">
        <f t="shared" si="136"/>
        <v>0</v>
      </c>
      <c r="R128" s="40">
        <f t="shared" si="137"/>
        <v>0</v>
      </c>
      <c r="S128" s="44">
        <f t="shared" si="138"/>
        <v>6015.2550272148546</v>
      </c>
      <c r="T128" s="35">
        <f t="shared" si="139"/>
        <v>13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502.18223139886351</v>
      </c>
      <c r="V128" s="57">
        <v>0</v>
      </c>
      <c r="W128" s="57">
        <v>0</v>
      </c>
      <c r="X128" s="61">
        <f t="shared" si="130"/>
        <v>13</v>
      </c>
      <c r="Y128" s="40">
        <f t="shared" si="140"/>
        <v>0</v>
      </c>
      <c r="Z128" s="40">
        <f t="shared" si="141"/>
        <v>0</v>
      </c>
      <c r="AA128" s="44">
        <f t="shared" si="142"/>
        <v>6528.3690081852255</v>
      </c>
      <c r="AB128" s="35">
        <f t="shared" si="143"/>
        <v>13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544.51022042431168</v>
      </c>
      <c r="AD128" s="57">
        <v>0</v>
      </c>
      <c r="AE128" s="57">
        <v>0</v>
      </c>
      <c r="AF128" s="61">
        <f t="shared" si="131"/>
        <v>13</v>
      </c>
      <c r="AG128" s="40">
        <f t="shared" si="144"/>
        <v>0</v>
      </c>
      <c r="AH128" s="40">
        <f t="shared" si="145"/>
        <v>0</v>
      </c>
      <c r="AI128" s="44">
        <f t="shared" si="146"/>
        <v>7078.6328655160523</v>
      </c>
      <c r="AJ128" s="35">
        <f t="shared" si="132"/>
        <v>13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589.30167777908684</v>
      </c>
      <c r="AL128" s="57">
        <v>0</v>
      </c>
      <c r="AM128" s="57">
        <v>0</v>
      </c>
      <c r="AN128" s="61">
        <f t="shared" si="133"/>
        <v>13</v>
      </c>
      <c r="AO128" s="40">
        <f t="shared" si="147"/>
        <v>0</v>
      </c>
      <c r="AP128" s="40">
        <f t="shared" si="148"/>
        <v>0</v>
      </c>
      <c r="AQ128" s="44">
        <f t="shared" si="149"/>
        <v>7660.9218111281289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3</v>
      </c>
      <c r="G129" s="35">
        <f>SUMIFS(WORKING!$AC$3:$AC$6802,WORKING!$A$3:$A$6802,Results!$D$3,WORKING!$B$3:$B$6802,Results!A129,WORKING!$C$3:$C$6802,Results!C129)/1000</f>
        <v>1572.3820700000001</v>
      </c>
      <c r="H129" s="35">
        <f t="shared" si="134"/>
        <v>524.12735666666674</v>
      </c>
      <c r="I129" s="187">
        <v>3</v>
      </c>
      <c r="J129" s="212">
        <v>1850.6002693464875</v>
      </c>
      <c r="K129" s="217">
        <f t="shared" si="135"/>
        <v>616.86675644882916</v>
      </c>
      <c r="L129" s="34">
        <f t="shared" si="128"/>
        <v>3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672.20691626483051</v>
      </c>
      <c r="N129" s="57">
        <v>0</v>
      </c>
      <c r="O129" s="57">
        <v>0</v>
      </c>
      <c r="P129" s="61">
        <f t="shared" si="129"/>
        <v>3</v>
      </c>
      <c r="Q129" s="40">
        <f t="shared" si="136"/>
        <v>0</v>
      </c>
      <c r="R129" s="40">
        <f t="shared" si="137"/>
        <v>0</v>
      </c>
      <c r="S129" s="44">
        <f t="shared" si="138"/>
        <v>2016.6207487944916</v>
      </c>
      <c r="T129" s="35">
        <f t="shared" si="139"/>
        <v>3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729.58444943124925</v>
      </c>
      <c r="V129" s="57">
        <v>0</v>
      </c>
      <c r="W129" s="57">
        <v>0</v>
      </c>
      <c r="X129" s="61">
        <f t="shared" si="130"/>
        <v>3</v>
      </c>
      <c r="Y129" s="40">
        <f t="shared" si="140"/>
        <v>0</v>
      </c>
      <c r="Z129" s="40">
        <f t="shared" si="141"/>
        <v>0</v>
      </c>
      <c r="AA129" s="44">
        <f t="shared" si="142"/>
        <v>2188.7533482937479</v>
      </c>
      <c r="AB129" s="35">
        <f t="shared" si="143"/>
        <v>3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791.11964673375894</v>
      </c>
      <c r="AD129" s="57">
        <v>0</v>
      </c>
      <c r="AE129" s="57">
        <v>0</v>
      </c>
      <c r="AF129" s="61">
        <f t="shared" si="131"/>
        <v>3</v>
      </c>
      <c r="AG129" s="40">
        <f t="shared" si="144"/>
        <v>0</v>
      </c>
      <c r="AH129" s="40">
        <f t="shared" si="145"/>
        <v>0</v>
      </c>
      <c r="AI129" s="44">
        <f t="shared" si="146"/>
        <v>2373.3589402012767</v>
      </c>
      <c r="AJ129" s="35">
        <f t="shared" si="132"/>
        <v>3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856.24026899120929</v>
      </c>
      <c r="AL129" s="57">
        <v>0</v>
      </c>
      <c r="AM129" s="57">
        <v>0</v>
      </c>
      <c r="AN129" s="61">
        <f t="shared" si="133"/>
        <v>3</v>
      </c>
      <c r="AO129" s="40">
        <f t="shared" si="147"/>
        <v>0</v>
      </c>
      <c r="AP129" s="40">
        <f t="shared" si="148"/>
        <v>0</v>
      </c>
      <c r="AQ129" s="44">
        <f t="shared" si="149"/>
        <v>2568.720806973628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11</v>
      </c>
      <c r="G130" s="35">
        <f>SUMIFS(WORKING!$AC$3:$AC$6802,WORKING!$A$3:$A$6802,Results!$D$3,WORKING!$B$3:$B$6802,Results!A130,WORKING!$C$3:$C$6802,Results!C130)/1000</f>
        <v>6666.8543300000001</v>
      </c>
      <c r="H130" s="35">
        <f t="shared" si="134"/>
        <v>606.07766636363635</v>
      </c>
      <c r="I130" s="187">
        <v>11</v>
      </c>
      <c r="J130" s="212">
        <v>7316.5460543118934</v>
      </c>
      <c r="K130" s="217">
        <f t="shared" si="135"/>
        <v>665.14055039199036</v>
      </c>
      <c r="L130" s="34">
        <f t="shared" si="128"/>
        <v>11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726.10991555158</v>
      </c>
      <c r="N130" s="57">
        <v>0</v>
      </c>
      <c r="O130" s="57">
        <v>1</v>
      </c>
      <c r="P130" s="61">
        <f t="shared" si="129"/>
        <v>10</v>
      </c>
      <c r="Q130" s="40">
        <f t="shared" si="136"/>
        <v>0</v>
      </c>
      <c r="R130" s="40">
        <f t="shared" si="137"/>
        <v>-726.10991555158</v>
      </c>
      <c r="S130" s="44">
        <f t="shared" si="138"/>
        <v>7261.0991555157998</v>
      </c>
      <c r="T130" s="35">
        <f t="shared" si="139"/>
        <v>10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788.24788781241671</v>
      </c>
      <c r="V130" s="57">
        <v>0</v>
      </c>
      <c r="W130" s="57">
        <v>1</v>
      </c>
      <c r="X130" s="61">
        <f t="shared" si="130"/>
        <v>9</v>
      </c>
      <c r="Y130" s="40">
        <f t="shared" si="140"/>
        <v>0</v>
      </c>
      <c r="Z130" s="40">
        <f t="shared" si="141"/>
        <v>-788.24788781241671</v>
      </c>
      <c r="AA130" s="44">
        <f t="shared" si="142"/>
        <v>7094.2309903117502</v>
      </c>
      <c r="AB130" s="35">
        <f t="shared" si="143"/>
        <v>9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854.9036897577264</v>
      </c>
      <c r="AD130" s="57">
        <v>0</v>
      </c>
      <c r="AE130" s="57">
        <v>1</v>
      </c>
      <c r="AF130" s="61">
        <f t="shared" si="131"/>
        <v>8</v>
      </c>
      <c r="AG130" s="40">
        <f t="shared" si="144"/>
        <v>0</v>
      </c>
      <c r="AH130" s="40">
        <f t="shared" si="145"/>
        <v>-854.9036897577264</v>
      </c>
      <c r="AI130" s="44">
        <f t="shared" si="146"/>
        <v>6839.2295180618112</v>
      </c>
      <c r="AJ130" s="35">
        <f t="shared" si="132"/>
        <v>8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925.46134035881619</v>
      </c>
      <c r="AL130" s="57">
        <v>0</v>
      </c>
      <c r="AM130" s="57">
        <v>1</v>
      </c>
      <c r="AN130" s="61">
        <f t="shared" si="133"/>
        <v>7</v>
      </c>
      <c r="AO130" s="40">
        <f t="shared" si="147"/>
        <v>0</v>
      </c>
      <c r="AP130" s="40">
        <f t="shared" si="148"/>
        <v>-925.46134035881619</v>
      </c>
      <c r="AQ130" s="44">
        <f t="shared" si="149"/>
        <v>6478.2293825117131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6</v>
      </c>
      <c r="G131" s="35">
        <f>SUMIFS(WORKING!$AC$3:$AC$6802,WORKING!$A$3:$A$6802,Results!$D$3,WORKING!$B$3:$B$6802,Results!A131,WORKING!$C$3:$C$6802,Results!C131)/1000</f>
        <v>4690.17796</v>
      </c>
      <c r="H131" s="35">
        <f t="shared" si="134"/>
        <v>781.69632666666666</v>
      </c>
      <c r="I131" s="187">
        <v>6</v>
      </c>
      <c r="J131" s="212">
        <v>5252.2036227102417</v>
      </c>
      <c r="K131" s="217">
        <f t="shared" si="135"/>
        <v>875.36727045170699</v>
      </c>
      <c r="L131" s="34">
        <f t="shared" si="128"/>
        <v>6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955.60813349566138</v>
      </c>
      <c r="N131" s="57">
        <v>0</v>
      </c>
      <c r="O131" s="57">
        <v>0</v>
      </c>
      <c r="P131" s="61">
        <f t="shared" si="129"/>
        <v>6</v>
      </c>
      <c r="Q131" s="40">
        <f t="shared" si="136"/>
        <v>0</v>
      </c>
      <c r="R131" s="40">
        <f t="shared" si="137"/>
        <v>0</v>
      </c>
      <c r="S131" s="44">
        <f t="shared" si="138"/>
        <v>5733.6488009739678</v>
      </c>
      <c r="T131" s="35">
        <f t="shared" si="139"/>
        <v>6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1037.3871804088137</v>
      </c>
      <c r="V131" s="57">
        <v>0</v>
      </c>
      <c r="W131" s="57">
        <v>0</v>
      </c>
      <c r="X131" s="61">
        <f t="shared" si="130"/>
        <v>6</v>
      </c>
      <c r="Y131" s="40">
        <f t="shared" si="140"/>
        <v>0</v>
      </c>
      <c r="Z131" s="40">
        <f t="shared" si="141"/>
        <v>0</v>
      </c>
      <c r="AA131" s="44">
        <f t="shared" si="142"/>
        <v>6224.3230824528819</v>
      </c>
      <c r="AB131" s="35">
        <f t="shared" si="143"/>
        <v>6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1125.1122254137424</v>
      </c>
      <c r="AD131" s="57">
        <v>0</v>
      </c>
      <c r="AE131" s="57">
        <v>0</v>
      </c>
      <c r="AF131" s="61">
        <f t="shared" si="131"/>
        <v>6</v>
      </c>
      <c r="AG131" s="40">
        <f t="shared" si="144"/>
        <v>0</v>
      </c>
      <c r="AH131" s="40">
        <f t="shared" si="145"/>
        <v>0</v>
      </c>
      <c r="AI131" s="44">
        <f t="shared" si="146"/>
        <v>6750.673352482454</v>
      </c>
      <c r="AJ131" s="35">
        <f t="shared" si="132"/>
        <v>6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1217.9726181606086</v>
      </c>
      <c r="AL131" s="57">
        <v>0</v>
      </c>
      <c r="AM131" s="57">
        <v>0</v>
      </c>
      <c r="AN131" s="61">
        <f t="shared" si="133"/>
        <v>6</v>
      </c>
      <c r="AO131" s="40">
        <f t="shared" si="147"/>
        <v>0</v>
      </c>
      <c r="AP131" s="40">
        <f t="shared" si="148"/>
        <v>0</v>
      </c>
      <c r="AQ131" s="44">
        <f t="shared" si="149"/>
        <v>7307.835708963652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10</v>
      </c>
      <c r="G132" s="35">
        <f>SUMIFS(WORKING!$AC$3:$AC$6802,WORKING!$A$3:$A$6802,Results!$D$3,WORKING!$B$3:$B$6802,Results!A132,WORKING!$C$3:$C$6802,Results!C132)/1000</f>
        <v>9666.8212900000017</v>
      </c>
      <c r="H132" s="35">
        <f t="shared" si="134"/>
        <v>966.68212900000015</v>
      </c>
      <c r="I132" s="187">
        <v>10</v>
      </c>
      <c r="J132" s="212">
        <v>10608.862840878619</v>
      </c>
      <c r="K132" s="217">
        <f t="shared" si="135"/>
        <v>1060.8862840878619</v>
      </c>
      <c r="L132" s="34">
        <f t="shared" si="128"/>
        <v>10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1111.9744039750674</v>
      </c>
      <c r="N132" s="57">
        <v>0</v>
      </c>
      <c r="O132" s="57">
        <v>1</v>
      </c>
      <c r="P132" s="61">
        <f t="shared" si="129"/>
        <v>9</v>
      </c>
      <c r="Q132" s="40">
        <f t="shared" si="136"/>
        <v>0</v>
      </c>
      <c r="R132" s="40">
        <f t="shared" si="137"/>
        <v>-1111.9744039750674</v>
      </c>
      <c r="S132" s="44">
        <f t="shared" si="138"/>
        <v>10007.769635775607</v>
      </c>
      <c r="T132" s="35">
        <f t="shared" si="139"/>
        <v>9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1195.9865351873514</v>
      </c>
      <c r="V132" s="57">
        <v>0</v>
      </c>
      <c r="W132" s="57">
        <v>1</v>
      </c>
      <c r="X132" s="61">
        <f t="shared" si="130"/>
        <v>8</v>
      </c>
      <c r="Y132" s="40">
        <f t="shared" si="140"/>
        <v>0</v>
      </c>
      <c r="Z132" s="40">
        <f t="shared" si="141"/>
        <v>-1195.9865351873514</v>
      </c>
      <c r="AA132" s="44">
        <f t="shared" si="142"/>
        <v>9567.8922814988109</v>
      </c>
      <c r="AB132" s="35">
        <f t="shared" si="143"/>
        <v>8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1285.1324352151719</v>
      </c>
      <c r="AD132" s="57">
        <v>0</v>
      </c>
      <c r="AE132" s="57">
        <v>1</v>
      </c>
      <c r="AF132" s="61">
        <f t="shared" si="131"/>
        <v>7</v>
      </c>
      <c r="AG132" s="40">
        <f t="shared" si="144"/>
        <v>0</v>
      </c>
      <c r="AH132" s="40">
        <f t="shared" si="145"/>
        <v>-1285.1324352151719</v>
      </c>
      <c r="AI132" s="44">
        <f t="shared" si="146"/>
        <v>8995.9270465062036</v>
      </c>
      <c r="AJ132" s="35">
        <f t="shared" si="132"/>
        <v>7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1378.3150762197965</v>
      </c>
      <c r="AL132" s="57">
        <v>0</v>
      </c>
      <c r="AM132" s="57">
        <v>1</v>
      </c>
      <c r="AN132" s="61">
        <f t="shared" si="133"/>
        <v>6</v>
      </c>
      <c r="AO132" s="40">
        <f t="shared" si="147"/>
        <v>0</v>
      </c>
      <c r="AP132" s="40">
        <f t="shared" si="148"/>
        <v>-1378.3150762197965</v>
      </c>
      <c r="AQ132" s="44">
        <f t="shared" si="149"/>
        <v>8269.8904573187792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3</v>
      </c>
      <c r="G133" s="35">
        <f>SUMIFS(WORKING!$AC$3:$AC$6802,WORKING!$A$3:$A$6802,Results!$D$3,WORKING!$B$3:$B$6802,Results!A133,WORKING!$C$3:$C$6802,Results!C133)/1000</f>
        <v>3413.4787600000004</v>
      </c>
      <c r="H133" s="35">
        <f t="shared" si="134"/>
        <v>1137.8262533333334</v>
      </c>
      <c r="I133" s="187">
        <v>5</v>
      </c>
      <c r="J133" s="212">
        <v>6854.8519531243819</v>
      </c>
      <c r="K133" s="217">
        <f t="shared" si="135"/>
        <v>1370.9703906248765</v>
      </c>
      <c r="L133" s="34">
        <f t="shared" si="128"/>
        <v>5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1437.2293463352842</v>
      </c>
      <c r="N133" s="57">
        <v>0</v>
      </c>
      <c r="O133" s="57">
        <v>0</v>
      </c>
      <c r="P133" s="61">
        <f t="shared" si="129"/>
        <v>5</v>
      </c>
      <c r="Q133" s="40">
        <f t="shared" si="136"/>
        <v>0</v>
      </c>
      <c r="R133" s="40">
        <f t="shared" si="137"/>
        <v>0</v>
      </c>
      <c r="S133" s="44">
        <f t="shared" si="138"/>
        <v>7186.146731676421</v>
      </c>
      <c r="T133" s="35">
        <f t="shared" si="139"/>
        <v>5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1546.0716660223154</v>
      </c>
      <c r="V133" s="57">
        <v>0</v>
      </c>
      <c r="W133" s="57">
        <v>0</v>
      </c>
      <c r="X133" s="61">
        <f t="shared" si="130"/>
        <v>5</v>
      </c>
      <c r="Y133" s="40">
        <f t="shared" si="140"/>
        <v>0</v>
      </c>
      <c r="Z133" s="40">
        <f t="shared" si="141"/>
        <v>0</v>
      </c>
      <c r="AA133" s="44">
        <f t="shared" si="142"/>
        <v>7730.3583301115768</v>
      </c>
      <c r="AB133" s="35">
        <f t="shared" si="143"/>
        <v>5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1661.5876701223017</v>
      </c>
      <c r="AD133" s="57">
        <v>0</v>
      </c>
      <c r="AE133" s="57">
        <v>0</v>
      </c>
      <c r="AF133" s="61">
        <f t="shared" si="131"/>
        <v>5</v>
      </c>
      <c r="AG133" s="40">
        <f t="shared" si="144"/>
        <v>0</v>
      </c>
      <c r="AH133" s="40">
        <f t="shared" si="145"/>
        <v>0</v>
      </c>
      <c r="AI133" s="44">
        <f t="shared" si="146"/>
        <v>8307.9383506115082</v>
      </c>
      <c r="AJ133" s="35">
        <f t="shared" si="132"/>
        <v>5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1782.3620545171239</v>
      </c>
      <c r="AL133" s="57">
        <v>0</v>
      </c>
      <c r="AM133" s="57">
        <v>0</v>
      </c>
      <c r="AN133" s="61">
        <f t="shared" si="133"/>
        <v>5</v>
      </c>
      <c r="AO133" s="40">
        <f t="shared" si="147"/>
        <v>0</v>
      </c>
      <c r="AP133" s="40">
        <f t="shared" si="148"/>
        <v>0</v>
      </c>
      <c r="AQ133" s="44">
        <f t="shared" si="149"/>
        <v>8911.8102725856188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>
        <v>0</v>
      </c>
      <c r="J134" s="212">
        <v>0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>
        <v>0</v>
      </c>
      <c r="J135" s="212">
        <v>0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>
        <v>0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>
        <v>0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59</v>
      </c>
      <c r="G140" s="41">
        <f>SUM(G120:G139)</f>
        <v>34425.981220000001</v>
      </c>
      <c r="H140" s="41">
        <f>IFERROR(G140/F140,0)</f>
        <v>583.49120711864407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59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41275.495834767025</v>
      </c>
      <c r="K140" s="41">
        <f>IFERROR(J140/I140,"")</f>
        <v>699.58467516554276</v>
      </c>
      <c r="L140" s="41">
        <f>SUM(L120:L139)</f>
        <v>59</v>
      </c>
      <c r="M140" s="41">
        <f>IFERROR(S140/P140,0)</f>
        <v>750.43792210810477</v>
      </c>
      <c r="N140" s="41">
        <f t="shared" ref="N140:T140" si="151">SUM(N120:N139)</f>
        <v>0</v>
      </c>
      <c r="O140" s="41">
        <f t="shared" si="151"/>
        <v>3</v>
      </c>
      <c r="P140" s="41">
        <f t="shared" si="151"/>
        <v>56</v>
      </c>
      <c r="Q140" s="41">
        <f t="shared" si="151"/>
        <v>0</v>
      </c>
      <c r="R140" s="41">
        <f t="shared" si="151"/>
        <v>-2250.6647673994594</v>
      </c>
      <c r="S140" s="45">
        <f t="shared" si="151"/>
        <v>42024.52363805387</v>
      </c>
      <c r="T140" s="41">
        <f t="shared" si="151"/>
        <v>56</v>
      </c>
      <c r="U140" s="41">
        <f>IFERROR(AA140/X140,0)</f>
        <v>811.59155667395305</v>
      </c>
      <c r="V140" s="41">
        <f t="shared" ref="V140:AB140" si="152">SUM(V120:V139)</f>
        <v>0</v>
      </c>
      <c r="W140" s="41">
        <f t="shared" si="152"/>
        <v>3</v>
      </c>
      <c r="X140" s="41">
        <f t="shared" si="152"/>
        <v>53</v>
      </c>
      <c r="Y140" s="41">
        <f t="shared" si="152"/>
        <v>0</v>
      </c>
      <c r="Z140" s="41">
        <f t="shared" si="152"/>
        <v>-2431.904620167772</v>
      </c>
      <c r="AA140" s="45">
        <f t="shared" si="152"/>
        <v>43014.352503719514</v>
      </c>
      <c r="AB140" s="41">
        <f t="shared" si="152"/>
        <v>53</v>
      </c>
      <c r="AC140" s="41">
        <f>IFERROR(AI140/AF140,0)</f>
        <v>869.3354589376421</v>
      </c>
      <c r="AD140" s="41">
        <f t="shared" ref="AD140:AJ140" si="153">SUM(AD120:AD139)</f>
        <v>0</v>
      </c>
      <c r="AE140" s="41">
        <f t="shared" si="153"/>
        <v>2</v>
      </c>
      <c r="AF140" s="41">
        <f t="shared" si="153"/>
        <v>51</v>
      </c>
      <c r="AG140" s="41">
        <f t="shared" si="153"/>
        <v>0</v>
      </c>
      <c r="AH140" s="41">
        <f t="shared" si="153"/>
        <v>-2140.0361249728985</v>
      </c>
      <c r="AI140" s="45">
        <f t="shared" si="153"/>
        <v>44336.108405819745</v>
      </c>
      <c r="AJ140" s="41">
        <f t="shared" si="153"/>
        <v>51</v>
      </c>
      <c r="AK140" s="41">
        <f>IFERROR(AQ140/AN140,0)</f>
        <v>928.89158898385983</v>
      </c>
      <c r="AL140" s="41">
        <f t="shared" ref="AL140:AQ140" si="154">SUM(AL120:AL139)</f>
        <v>0</v>
      </c>
      <c r="AM140" s="41">
        <f t="shared" si="154"/>
        <v>2</v>
      </c>
      <c r="AN140" s="41">
        <f t="shared" si="154"/>
        <v>49</v>
      </c>
      <c r="AO140" s="41">
        <f t="shared" si="154"/>
        <v>0</v>
      </c>
      <c r="AP140" s="41">
        <f t="shared" si="154"/>
        <v>-2303.776416578613</v>
      </c>
      <c r="AQ140" s="45">
        <f t="shared" si="154"/>
        <v>45515.687860209131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46150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47827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49679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53454.604000000007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4125.4763619461301</v>
      </c>
      <c r="T142" s="39"/>
      <c r="U142" s="39"/>
      <c r="V142" s="53"/>
      <c r="W142" s="53"/>
      <c r="X142" s="110"/>
      <c r="Y142" s="39"/>
      <c r="Z142" s="39"/>
      <c r="AA142" s="54">
        <f>AA141-AA140</f>
        <v>4812.6474962804859</v>
      </c>
      <c r="AB142" s="39"/>
      <c r="AC142" s="53"/>
      <c r="AD142" s="53"/>
      <c r="AE142" s="110"/>
      <c r="AF142" s="39"/>
      <c r="AG142" s="39"/>
      <c r="AH142" s="39"/>
      <c r="AI142" s="54">
        <f>AI141-AI140</f>
        <v>5342.8915941802552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7938.9161397908756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Research, Development and Support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0</v>
      </c>
      <c r="J149" s="212">
        <v>0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>
        <v>0</v>
      </c>
      <c r="J150" s="212">
        <v>0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>
        <v>0</v>
      </c>
      <c r="J151" s="212">
        <v>0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>
        <v>0</v>
      </c>
      <c r="J152" s="212">
        <v>0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5</v>
      </c>
      <c r="G153" s="35">
        <f>SUMIFS(WORKING!$AC$3:$AC$6802,WORKING!$A$3:$A$6802,Results!$D$3,WORKING!$B$3:$B$6802,Results!A153,WORKING!$C$3:$C$6802,Results!C153)/1000</f>
        <v>1172.9896700000002</v>
      </c>
      <c r="H153" s="35">
        <f t="shared" si="161"/>
        <v>234.59793400000004</v>
      </c>
      <c r="I153" s="187">
        <v>4</v>
      </c>
      <c r="J153" s="212">
        <v>938</v>
      </c>
      <c r="K153" s="217">
        <f t="shared" si="162"/>
        <v>234.5</v>
      </c>
      <c r="L153" s="34">
        <f t="shared" si="155"/>
        <v>4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254.82714571029754</v>
      </c>
      <c r="N153" s="57">
        <v>0</v>
      </c>
      <c r="O153" s="57">
        <v>0</v>
      </c>
      <c r="P153" s="61">
        <f t="shared" si="156"/>
        <v>4</v>
      </c>
      <c r="Q153" s="40">
        <f t="shared" si="163"/>
        <v>0</v>
      </c>
      <c r="R153" s="40">
        <f t="shared" si="164"/>
        <v>0</v>
      </c>
      <c r="S153" s="44">
        <f t="shared" si="165"/>
        <v>1019.3085828411902</v>
      </c>
      <c r="T153" s="35">
        <f t="shared" si="166"/>
        <v>4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276.35971851479405</v>
      </c>
      <c r="V153" s="57">
        <v>0</v>
      </c>
      <c r="W153" s="57">
        <v>0</v>
      </c>
      <c r="X153" s="61">
        <f t="shared" si="157"/>
        <v>4</v>
      </c>
      <c r="Y153" s="40">
        <f t="shared" si="167"/>
        <v>0</v>
      </c>
      <c r="Z153" s="40">
        <f t="shared" si="168"/>
        <v>0</v>
      </c>
      <c r="AA153" s="44">
        <f t="shared" si="169"/>
        <v>1105.4388740591762</v>
      </c>
      <c r="AB153" s="35">
        <f t="shared" si="170"/>
        <v>4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299.43169516775265</v>
      </c>
      <c r="AD153" s="57">
        <v>0</v>
      </c>
      <c r="AE153" s="57">
        <v>0</v>
      </c>
      <c r="AF153" s="61">
        <f t="shared" si="158"/>
        <v>4</v>
      </c>
      <c r="AG153" s="40">
        <f t="shared" si="171"/>
        <v>0</v>
      </c>
      <c r="AH153" s="40">
        <f t="shared" si="172"/>
        <v>0</v>
      </c>
      <c r="AI153" s="44">
        <f t="shared" si="173"/>
        <v>1197.7267806710106</v>
      </c>
      <c r="AJ153" s="35">
        <f t="shared" si="159"/>
        <v>4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323.82293637663207</v>
      </c>
      <c r="AL153" s="57">
        <v>0</v>
      </c>
      <c r="AM153" s="57">
        <v>0</v>
      </c>
      <c r="AN153" s="61">
        <f t="shared" si="160"/>
        <v>4</v>
      </c>
      <c r="AO153" s="40">
        <f t="shared" si="174"/>
        <v>0</v>
      </c>
      <c r="AP153" s="40">
        <f t="shared" si="175"/>
        <v>0</v>
      </c>
      <c r="AQ153" s="44">
        <f t="shared" si="176"/>
        <v>1295.2917455065283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>
        <v>3</v>
      </c>
      <c r="J154" s="212">
        <v>0</v>
      </c>
      <c r="K154" s="217">
        <f t="shared" si="162"/>
        <v>0</v>
      </c>
      <c r="L154" s="34">
        <f t="shared" si="155"/>
        <v>3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0</v>
      </c>
      <c r="N154" s="57">
        <v>0</v>
      </c>
      <c r="O154" s="57">
        <v>0</v>
      </c>
      <c r="P154" s="61">
        <f t="shared" si="156"/>
        <v>3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3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0</v>
      </c>
      <c r="V154" s="57">
        <v>0</v>
      </c>
      <c r="W154" s="57">
        <v>0</v>
      </c>
      <c r="X154" s="61">
        <f t="shared" si="157"/>
        <v>3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3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0</v>
      </c>
      <c r="AD154" s="57">
        <v>0</v>
      </c>
      <c r="AE154" s="57">
        <v>0</v>
      </c>
      <c r="AF154" s="61">
        <f t="shared" si="158"/>
        <v>3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3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0</v>
      </c>
      <c r="AL154" s="57">
        <v>0</v>
      </c>
      <c r="AM154" s="57">
        <v>0</v>
      </c>
      <c r="AN154" s="61">
        <f t="shared" si="160"/>
        <v>3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4</v>
      </c>
      <c r="G155" s="35">
        <f>SUMIFS(WORKING!$AC$3:$AC$6802,WORKING!$A$3:$A$6802,Results!$D$3,WORKING!$B$3:$B$6802,Results!A155,WORKING!$C$3:$C$6802,Results!C155)/1000</f>
        <v>1149.4158500000001</v>
      </c>
      <c r="H155" s="35">
        <f t="shared" si="161"/>
        <v>287.35396250000002</v>
      </c>
      <c r="I155" s="187">
        <v>5</v>
      </c>
      <c r="J155" s="212">
        <v>1437</v>
      </c>
      <c r="K155" s="217">
        <f t="shared" si="162"/>
        <v>287.39999999999998</v>
      </c>
      <c r="L155" s="34">
        <f t="shared" si="155"/>
        <v>5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313.11125161808189</v>
      </c>
      <c r="N155" s="57">
        <v>0</v>
      </c>
      <c r="O155" s="57">
        <v>0</v>
      </c>
      <c r="P155" s="61">
        <f t="shared" si="156"/>
        <v>5</v>
      </c>
      <c r="Q155" s="40">
        <f t="shared" si="163"/>
        <v>0</v>
      </c>
      <c r="R155" s="40">
        <f t="shared" si="164"/>
        <v>0</v>
      </c>
      <c r="S155" s="44">
        <f t="shared" si="165"/>
        <v>1565.5562580904095</v>
      </c>
      <c r="T155" s="35">
        <f t="shared" si="166"/>
        <v>5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339.815831802258</v>
      </c>
      <c r="V155" s="57">
        <v>0</v>
      </c>
      <c r="W155" s="57">
        <v>0</v>
      </c>
      <c r="X155" s="61">
        <f t="shared" si="157"/>
        <v>5</v>
      </c>
      <c r="Y155" s="40">
        <f t="shared" si="167"/>
        <v>0</v>
      </c>
      <c r="Z155" s="40">
        <f t="shared" si="168"/>
        <v>0</v>
      </c>
      <c r="AA155" s="44">
        <f t="shared" si="169"/>
        <v>1699.0791590112899</v>
      </c>
      <c r="AB155" s="35">
        <f t="shared" si="170"/>
        <v>5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368.45334348563307</v>
      </c>
      <c r="AD155" s="57">
        <v>0</v>
      </c>
      <c r="AE155" s="57">
        <v>0</v>
      </c>
      <c r="AF155" s="61">
        <f t="shared" si="158"/>
        <v>5</v>
      </c>
      <c r="AG155" s="40">
        <f t="shared" si="171"/>
        <v>0</v>
      </c>
      <c r="AH155" s="40">
        <f t="shared" si="172"/>
        <v>0</v>
      </c>
      <c r="AI155" s="44">
        <f t="shared" si="173"/>
        <v>1842.2667174281653</v>
      </c>
      <c r="AJ155" s="35">
        <f t="shared" si="159"/>
        <v>5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398.75686466012547</v>
      </c>
      <c r="AL155" s="57">
        <v>0</v>
      </c>
      <c r="AM155" s="57">
        <v>0</v>
      </c>
      <c r="AN155" s="61">
        <f t="shared" si="160"/>
        <v>5</v>
      </c>
      <c r="AO155" s="40">
        <f t="shared" si="174"/>
        <v>0</v>
      </c>
      <c r="AP155" s="40">
        <f t="shared" si="175"/>
        <v>0</v>
      </c>
      <c r="AQ155" s="44">
        <f t="shared" si="176"/>
        <v>1993.7843233006274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>
        <v>0</v>
      </c>
      <c r="J156" s="212">
        <v>0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>
        <v>0</v>
      </c>
      <c r="J157" s="212">
        <v>0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8</v>
      </c>
      <c r="G158" s="35">
        <f>SUMIFS(WORKING!$AC$3:$AC$6802,WORKING!$A$3:$A$6802,Results!$D$3,WORKING!$B$3:$B$6802,Results!A158,WORKING!$C$3:$C$6802,Results!C158)/1000</f>
        <v>4761.0974100000012</v>
      </c>
      <c r="H158" s="35">
        <f t="shared" si="161"/>
        <v>595.13717625000015</v>
      </c>
      <c r="I158" s="187">
        <v>5</v>
      </c>
      <c r="J158" s="212">
        <v>2976</v>
      </c>
      <c r="K158" s="217">
        <f t="shared" si="162"/>
        <v>595.20000000000005</v>
      </c>
      <c r="L158" s="34">
        <f t="shared" si="155"/>
        <v>5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649.89706669650468</v>
      </c>
      <c r="N158" s="57">
        <v>0</v>
      </c>
      <c r="O158" s="57">
        <v>1</v>
      </c>
      <c r="P158" s="61">
        <f t="shared" si="156"/>
        <v>4</v>
      </c>
      <c r="Q158" s="40">
        <f t="shared" si="163"/>
        <v>0</v>
      </c>
      <c r="R158" s="40">
        <f t="shared" si="164"/>
        <v>-649.89706669650468</v>
      </c>
      <c r="S158" s="44">
        <f t="shared" si="165"/>
        <v>2599.5882667860187</v>
      </c>
      <c r="T158" s="35">
        <f t="shared" si="166"/>
        <v>4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705.66363484045144</v>
      </c>
      <c r="V158" s="57">
        <v>0</v>
      </c>
      <c r="W158" s="57">
        <v>1</v>
      </c>
      <c r="X158" s="61">
        <f t="shared" si="157"/>
        <v>3</v>
      </c>
      <c r="Y158" s="40">
        <f t="shared" si="167"/>
        <v>0</v>
      </c>
      <c r="Z158" s="40">
        <f t="shared" si="168"/>
        <v>-705.66363484045144</v>
      </c>
      <c r="AA158" s="44">
        <f t="shared" si="169"/>
        <v>2116.9909045213544</v>
      </c>
      <c r="AB158" s="35">
        <f t="shared" si="170"/>
        <v>3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765.49934868640844</v>
      </c>
      <c r="AD158" s="57">
        <v>0</v>
      </c>
      <c r="AE158" s="57">
        <v>1</v>
      </c>
      <c r="AF158" s="61">
        <f t="shared" si="158"/>
        <v>2</v>
      </c>
      <c r="AG158" s="40">
        <f t="shared" si="171"/>
        <v>0</v>
      </c>
      <c r="AH158" s="40">
        <f t="shared" si="172"/>
        <v>-765.49934868640844</v>
      </c>
      <c r="AI158" s="44">
        <f t="shared" si="173"/>
        <v>1530.9986973728169</v>
      </c>
      <c r="AJ158" s="35">
        <f t="shared" si="159"/>
        <v>2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828.8551263491297</v>
      </c>
      <c r="AL158" s="57">
        <v>0</v>
      </c>
      <c r="AM158" s="57">
        <v>1</v>
      </c>
      <c r="AN158" s="61">
        <f t="shared" si="160"/>
        <v>1</v>
      </c>
      <c r="AO158" s="40">
        <f t="shared" si="174"/>
        <v>0</v>
      </c>
      <c r="AP158" s="40">
        <f t="shared" si="175"/>
        <v>-828.8551263491297</v>
      </c>
      <c r="AQ158" s="44">
        <f t="shared" si="176"/>
        <v>828.8551263491297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11</v>
      </c>
      <c r="G159" s="35">
        <f>SUMIFS(WORKING!$AC$3:$AC$6802,WORKING!$A$3:$A$6802,Results!$D$3,WORKING!$B$3:$B$6802,Results!A159,WORKING!$C$3:$C$6802,Results!C159)/1000</f>
        <v>8189.0044100000005</v>
      </c>
      <c r="H159" s="35">
        <f t="shared" si="161"/>
        <v>744.4549463636364</v>
      </c>
      <c r="I159" s="187">
        <v>16</v>
      </c>
      <c r="J159" s="212">
        <v>11911</v>
      </c>
      <c r="K159" s="217">
        <f t="shared" si="162"/>
        <v>744.4375</v>
      </c>
      <c r="L159" s="34">
        <f t="shared" si="155"/>
        <v>16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812.74720278791233</v>
      </c>
      <c r="N159" s="57">
        <v>0</v>
      </c>
      <c r="O159" s="57">
        <v>0</v>
      </c>
      <c r="P159" s="61">
        <f t="shared" si="156"/>
        <v>16</v>
      </c>
      <c r="Q159" s="40">
        <f t="shared" si="163"/>
        <v>0</v>
      </c>
      <c r="R159" s="40">
        <f t="shared" si="164"/>
        <v>0</v>
      </c>
      <c r="S159" s="44">
        <f t="shared" si="165"/>
        <v>13003.955244606597</v>
      </c>
      <c r="T159" s="35">
        <f t="shared" si="166"/>
        <v>16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882.37710570791137</v>
      </c>
      <c r="V159" s="57">
        <v>0</v>
      </c>
      <c r="W159" s="57">
        <v>0</v>
      </c>
      <c r="X159" s="61">
        <f t="shared" si="157"/>
        <v>16</v>
      </c>
      <c r="Y159" s="40">
        <f t="shared" si="167"/>
        <v>0</v>
      </c>
      <c r="Z159" s="40">
        <f t="shared" si="168"/>
        <v>0</v>
      </c>
      <c r="AA159" s="44">
        <f t="shared" si="169"/>
        <v>14118.033691326582</v>
      </c>
      <c r="AB159" s="35">
        <f t="shared" si="170"/>
        <v>16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957.07705963779654</v>
      </c>
      <c r="AD159" s="57">
        <v>0</v>
      </c>
      <c r="AE159" s="57">
        <v>0</v>
      </c>
      <c r="AF159" s="61">
        <f t="shared" si="158"/>
        <v>16</v>
      </c>
      <c r="AG159" s="40">
        <f t="shared" si="171"/>
        <v>0</v>
      </c>
      <c r="AH159" s="40">
        <f t="shared" si="172"/>
        <v>0</v>
      </c>
      <c r="AI159" s="44">
        <f t="shared" si="173"/>
        <v>15313.232954204745</v>
      </c>
      <c r="AJ159" s="35">
        <f t="shared" si="159"/>
        <v>16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1036.158743867072</v>
      </c>
      <c r="AL159" s="57">
        <v>0</v>
      </c>
      <c r="AM159" s="57">
        <v>0</v>
      </c>
      <c r="AN159" s="61">
        <f t="shared" si="160"/>
        <v>16</v>
      </c>
      <c r="AO159" s="40">
        <f t="shared" si="174"/>
        <v>0</v>
      </c>
      <c r="AP159" s="40">
        <f t="shared" si="175"/>
        <v>0</v>
      </c>
      <c r="AQ159" s="44">
        <f t="shared" si="176"/>
        <v>16578.539901873151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12</v>
      </c>
      <c r="G160" s="35">
        <f>SUMIFS(WORKING!$AC$3:$AC$6802,WORKING!$A$3:$A$6802,Results!$D$3,WORKING!$B$3:$B$6802,Results!A160,WORKING!$C$3:$C$6802,Results!C160)/1000</f>
        <v>10649.917389999999</v>
      </c>
      <c r="H160" s="35">
        <f t="shared" si="161"/>
        <v>887.49311583333326</v>
      </c>
      <c r="I160" s="187">
        <v>11</v>
      </c>
      <c r="J160" s="212">
        <v>10634</v>
      </c>
      <c r="K160" s="217">
        <f t="shared" si="162"/>
        <v>966.72727272727275</v>
      </c>
      <c r="L160" s="34">
        <f t="shared" si="155"/>
        <v>11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1013.080437701748</v>
      </c>
      <c r="N160" s="57">
        <v>0</v>
      </c>
      <c r="O160" s="57">
        <v>0</v>
      </c>
      <c r="P160" s="61">
        <f t="shared" si="156"/>
        <v>11</v>
      </c>
      <c r="Q160" s="40">
        <f t="shared" si="163"/>
        <v>0</v>
      </c>
      <c r="R160" s="40">
        <f t="shared" si="164"/>
        <v>0</v>
      </c>
      <c r="S160" s="44">
        <f t="shared" si="165"/>
        <v>11143.884814719228</v>
      </c>
      <c r="T160" s="35">
        <f t="shared" si="166"/>
        <v>11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1089.4051690254364</v>
      </c>
      <c r="V160" s="57">
        <v>0</v>
      </c>
      <c r="W160" s="57">
        <v>0</v>
      </c>
      <c r="X160" s="61">
        <f t="shared" si="157"/>
        <v>11</v>
      </c>
      <c r="Y160" s="40">
        <f t="shared" si="167"/>
        <v>0</v>
      </c>
      <c r="Z160" s="40">
        <f t="shared" si="168"/>
        <v>0</v>
      </c>
      <c r="AA160" s="44">
        <f t="shared" si="169"/>
        <v>11983.4568592798</v>
      </c>
      <c r="AB160" s="35">
        <f t="shared" si="170"/>
        <v>11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1170.3749792369729</v>
      </c>
      <c r="AD160" s="57">
        <v>0</v>
      </c>
      <c r="AE160" s="57">
        <v>0</v>
      </c>
      <c r="AF160" s="61">
        <f t="shared" si="158"/>
        <v>11</v>
      </c>
      <c r="AG160" s="40">
        <f t="shared" si="171"/>
        <v>0</v>
      </c>
      <c r="AH160" s="40">
        <f t="shared" si="172"/>
        <v>0</v>
      </c>
      <c r="AI160" s="44">
        <f t="shared" si="173"/>
        <v>12874.124771606701</v>
      </c>
      <c r="AJ160" s="35">
        <f t="shared" si="159"/>
        <v>11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1254.9882306209429</v>
      </c>
      <c r="AL160" s="57">
        <v>0</v>
      </c>
      <c r="AM160" s="57">
        <v>0</v>
      </c>
      <c r="AN160" s="61">
        <f t="shared" si="160"/>
        <v>11</v>
      </c>
      <c r="AO160" s="40">
        <f t="shared" si="174"/>
        <v>0</v>
      </c>
      <c r="AP160" s="40">
        <f t="shared" si="175"/>
        <v>0</v>
      </c>
      <c r="AQ160" s="44">
        <f t="shared" si="176"/>
        <v>13804.870536830371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4</v>
      </c>
      <c r="G161" s="35">
        <f>SUMIFS(WORKING!$AC$3:$AC$6802,WORKING!$A$3:$A$6802,Results!$D$3,WORKING!$B$3:$B$6802,Results!A161,WORKING!$C$3:$C$6802,Results!C161)/1000</f>
        <v>3712.0806400000001</v>
      </c>
      <c r="H161" s="35">
        <f t="shared" si="161"/>
        <v>928.02016000000003</v>
      </c>
      <c r="I161" s="187">
        <v>3</v>
      </c>
      <c r="J161" s="212">
        <v>3221</v>
      </c>
      <c r="K161" s="217">
        <f t="shared" si="162"/>
        <v>1073.6666666666667</v>
      </c>
      <c r="L161" s="34">
        <f t="shared" si="155"/>
        <v>3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1125.66178352884</v>
      </c>
      <c r="N161" s="57">
        <v>0</v>
      </c>
      <c r="O161" s="57">
        <v>1</v>
      </c>
      <c r="P161" s="61">
        <f t="shared" si="156"/>
        <v>2</v>
      </c>
      <c r="Q161" s="40">
        <f t="shared" si="163"/>
        <v>0</v>
      </c>
      <c r="R161" s="40">
        <f t="shared" si="164"/>
        <v>-1125.66178352884</v>
      </c>
      <c r="S161" s="44">
        <f t="shared" si="165"/>
        <v>2251.3235670576801</v>
      </c>
      <c r="T161" s="35">
        <f t="shared" si="166"/>
        <v>2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1211.021678539734</v>
      </c>
      <c r="V161" s="57">
        <v>0</v>
      </c>
      <c r="W161" s="57">
        <v>1</v>
      </c>
      <c r="X161" s="61">
        <f t="shared" si="157"/>
        <v>1</v>
      </c>
      <c r="Y161" s="40">
        <f t="shared" si="167"/>
        <v>0</v>
      </c>
      <c r="Z161" s="40">
        <f t="shared" si="168"/>
        <v>-1211.021678539734</v>
      </c>
      <c r="AA161" s="44">
        <f t="shared" si="169"/>
        <v>1211.021678539734</v>
      </c>
      <c r="AB161" s="35">
        <f t="shared" si="170"/>
        <v>1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1301.6253793290796</v>
      </c>
      <c r="AD161" s="57">
        <v>0</v>
      </c>
      <c r="AE161" s="57">
        <v>1</v>
      </c>
      <c r="AF161" s="61">
        <f t="shared" si="158"/>
        <v>0</v>
      </c>
      <c r="AG161" s="40">
        <f t="shared" si="171"/>
        <v>0</v>
      </c>
      <c r="AH161" s="40">
        <f t="shared" si="172"/>
        <v>-1301.6253793290796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1396.3655496251281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>
        <v>0</v>
      </c>
      <c r="J162" s="212">
        <v>0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>
        <v>0</v>
      </c>
      <c r="J163" s="212">
        <v>0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>
        <v>0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>
        <v>0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44</v>
      </c>
      <c r="G168" s="41">
        <f>SUM(G148:G167)</f>
        <v>29634.505369999999</v>
      </c>
      <c r="H168" s="41">
        <f>IFERROR(G168/F168,0)</f>
        <v>673.51148568181816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47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31117</v>
      </c>
      <c r="K168" s="41">
        <f>IFERROR(J168/I168,"")</f>
        <v>662.063829787234</v>
      </c>
      <c r="L168" s="41">
        <f>SUM(L148:L167)</f>
        <v>47</v>
      </c>
      <c r="M168" s="41">
        <f>IFERROR(S168/P168,0)</f>
        <v>701.85814964669157</v>
      </c>
      <c r="N168" s="41">
        <f t="shared" ref="N168:T168" si="177">SUM(N148:N167)</f>
        <v>0</v>
      </c>
      <c r="O168" s="41">
        <f t="shared" si="177"/>
        <v>2</v>
      </c>
      <c r="P168" s="41">
        <f t="shared" si="177"/>
        <v>45</v>
      </c>
      <c r="Q168" s="41">
        <f t="shared" si="177"/>
        <v>0</v>
      </c>
      <c r="R168" s="41">
        <f t="shared" si="177"/>
        <v>-1775.5588502253447</v>
      </c>
      <c r="S168" s="45">
        <f t="shared" si="177"/>
        <v>31583.616734101121</v>
      </c>
      <c r="T168" s="41">
        <f t="shared" si="177"/>
        <v>45</v>
      </c>
      <c r="U168" s="41">
        <f>IFERROR(AA168/X168,0)</f>
        <v>749.62839922646378</v>
      </c>
      <c r="V168" s="41">
        <f t="shared" ref="V168:AB168" si="178">SUM(V148:V167)</f>
        <v>0</v>
      </c>
      <c r="W168" s="41">
        <f t="shared" si="178"/>
        <v>2</v>
      </c>
      <c r="X168" s="41">
        <f t="shared" si="178"/>
        <v>43</v>
      </c>
      <c r="Y168" s="41">
        <f t="shared" si="178"/>
        <v>0</v>
      </c>
      <c r="Z168" s="41">
        <f t="shared" si="178"/>
        <v>-1916.6853133801856</v>
      </c>
      <c r="AA168" s="45">
        <f t="shared" si="178"/>
        <v>32234.021166737941</v>
      </c>
      <c r="AB168" s="41">
        <f t="shared" si="178"/>
        <v>43</v>
      </c>
      <c r="AC168" s="41">
        <f>IFERROR(AI168/AF168,0)</f>
        <v>798.98414442154717</v>
      </c>
      <c r="AD168" s="41">
        <f t="shared" ref="AD168:AJ168" si="179">SUM(AD148:AD167)</f>
        <v>0</v>
      </c>
      <c r="AE168" s="41">
        <f t="shared" si="179"/>
        <v>2</v>
      </c>
      <c r="AF168" s="41">
        <f t="shared" si="179"/>
        <v>41</v>
      </c>
      <c r="AG168" s="41">
        <f t="shared" si="179"/>
        <v>0</v>
      </c>
      <c r="AH168" s="41">
        <f t="shared" si="179"/>
        <v>-2067.124728015488</v>
      </c>
      <c r="AI168" s="45">
        <f t="shared" si="179"/>
        <v>32758.349921283436</v>
      </c>
      <c r="AJ168" s="41">
        <f t="shared" si="179"/>
        <v>41</v>
      </c>
      <c r="AK168" s="41">
        <f>IFERROR(AQ168/AN168,0)</f>
        <v>862.53354084649504</v>
      </c>
      <c r="AL168" s="41">
        <f t="shared" ref="AL168:AQ168" si="180">SUM(AL148:AL167)</f>
        <v>0</v>
      </c>
      <c r="AM168" s="41">
        <f t="shared" si="180"/>
        <v>1</v>
      </c>
      <c r="AN168" s="41">
        <f t="shared" si="180"/>
        <v>40</v>
      </c>
      <c r="AO168" s="41">
        <f t="shared" si="180"/>
        <v>0</v>
      </c>
      <c r="AP168" s="41">
        <f t="shared" si="180"/>
        <v>-828.8551263491297</v>
      </c>
      <c r="AQ168" s="45">
        <f t="shared" si="180"/>
        <v>34501.341633859804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31805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32796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34065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36653.94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221.38326589887947</v>
      </c>
      <c r="T170" s="39"/>
      <c r="U170" s="39"/>
      <c r="V170" s="53"/>
      <c r="W170" s="53"/>
      <c r="X170" s="110"/>
      <c r="Y170" s="39"/>
      <c r="Z170" s="39"/>
      <c r="AA170" s="54">
        <f>AA169-AA168</f>
        <v>561.9788332620592</v>
      </c>
      <c r="AB170" s="39"/>
      <c r="AC170" s="53"/>
      <c r="AD170" s="53"/>
      <c r="AE170" s="110"/>
      <c r="AF170" s="39"/>
      <c r="AG170" s="39"/>
      <c r="AH170" s="39"/>
      <c r="AI170" s="54">
        <f>AI169-AI168</f>
        <v>1306.6500787165642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2152.5983661401988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Socio-Economic Innovation Partnerships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>
        <v>0</v>
      </c>
      <c r="J176" s="211">
        <v>0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>
        <v>0</v>
      </c>
      <c r="J177" s="212">
        <v>0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>
        <v>0</v>
      </c>
      <c r="J178" s="212">
        <v>0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>
        <v>0</v>
      </c>
      <c r="J179" s="212">
        <v>0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15.12138</v>
      </c>
      <c r="H180" s="35">
        <f t="shared" si="187"/>
        <v>0</v>
      </c>
      <c r="I180" s="187">
        <v>0</v>
      </c>
      <c r="J180" s="212">
        <v>0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5</v>
      </c>
      <c r="G181" s="35">
        <f>SUMIFS(WORKING!$AC$3:$AC$6802,WORKING!$A$3:$A$6802,Results!$D$3,WORKING!$B$3:$B$6802,Results!A181,WORKING!$C$3:$C$6802,Results!C181)/1000</f>
        <v>956.36473000000001</v>
      </c>
      <c r="H181" s="35">
        <f t="shared" si="187"/>
        <v>191.27294599999999</v>
      </c>
      <c r="I181" s="187">
        <v>5</v>
      </c>
      <c r="J181" s="212">
        <v>1288</v>
      </c>
      <c r="K181" s="217">
        <f t="shared" si="188"/>
        <v>257.60000000000002</v>
      </c>
      <c r="L181" s="34">
        <f t="shared" si="181"/>
        <v>5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280.03417695106651</v>
      </c>
      <c r="N181" s="57">
        <v>0</v>
      </c>
      <c r="O181" s="57">
        <v>0</v>
      </c>
      <c r="P181" s="61">
        <f t="shared" si="182"/>
        <v>5</v>
      </c>
      <c r="Q181" s="40">
        <f t="shared" si="189"/>
        <v>0</v>
      </c>
      <c r="R181" s="40">
        <f t="shared" si="190"/>
        <v>0</v>
      </c>
      <c r="S181" s="44">
        <f t="shared" si="191"/>
        <v>1400.1708847553325</v>
      </c>
      <c r="T181" s="35">
        <f t="shared" si="192"/>
        <v>5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303.73058703567972</v>
      </c>
      <c r="V181" s="57">
        <v>0</v>
      </c>
      <c r="W181" s="57">
        <v>0</v>
      </c>
      <c r="X181" s="61">
        <f t="shared" si="183"/>
        <v>5</v>
      </c>
      <c r="Y181" s="40">
        <f t="shared" si="193"/>
        <v>0</v>
      </c>
      <c r="Z181" s="40">
        <f t="shared" si="194"/>
        <v>0</v>
      </c>
      <c r="AA181" s="44">
        <f t="shared" si="195"/>
        <v>1518.6529351783986</v>
      </c>
      <c r="AB181" s="35">
        <f t="shared" si="196"/>
        <v>5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329.12424875374558</v>
      </c>
      <c r="AD181" s="57">
        <v>0</v>
      </c>
      <c r="AE181" s="57">
        <v>0</v>
      </c>
      <c r="AF181" s="61">
        <f t="shared" si="184"/>
        <v>5</v>
      </c>
      <c r="AG181" s="40">
        <f t="shared" si="197"/>
        <v>0</v>
      </c>
      <c r="AH181" s="40">
        <f t="shared" si="198"/>
        <v>0</v>
      </c>
      <c r="AI181" s="44">
        <f t="shared" si="199"/>
        <v>1645.6212437687279</v>
      </c>
      <c r="AJ181" s="35">
        <f t="shared" si="185"/>
        <v>5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355.9736167037384</v>
      </c>
      <c r="AL181" s="57">
        <v>0</v>
      </c>
      <c r="AM181" s="57">
        <v>0</v>
      </c>
      <c r="AN181" s="61">
        <f t="shared" si="186"/>
        <v>5</v>
      </c>
      <c r="AO181" s="40">
        <f t="shared" si="200"/>
        <v>0</v>
      </c>
      <c r="AP181" s="40">
        <f t="shared" si="201"/>
        <v>0</v>
      </c>
      <c r="AQ181" s="44">
        <f t="shared" si="202"/>
        <v>1779.8680835186919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4</v>
      </c>
      <c r="G182" s="35">
        <f>SUMIFS(WORKING!$AC$3:$AC$6802,WORKING!$A$3:$A$6802,Results!$D$3,WORKING!$B$3:$B$6802,Results!A182,WORKING!$C$3:$C$6802,Results!C182)/1000</f>
        <v>1187.2065700000001</v>
      </c>
      <c r="H182" s="35">
        <f t="shared" si="187"/>
        <v>296.80164250000001</v>
      </c>
      <c r="I182" s="187">
        <v>3</v>
      </c>
      <c r="J182" s="212">
        <v>1001</v>
      </c>
      <c r="K182" s="217">
        <f t="shared" si="188"/>
        <v>333.66666666666669</v>
      </c>
      <c r="L182" s="34">
        <f t="shared" si="181"/>
        <v>3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362.96794858724434</v>
      </c>
      <c r="N182" s="57">
        <v>0</v>
      </c>
      <c r="O182" s="57">
        <v>0</v>
      </c>
      <c r="P182" s="61">
        <f t="shared" si="182"/>
        <v>3</v>
      </c>
      <c r="Q182" s="40">
        <f t="shared" si="189"/>
        <v>0</v>
      </c>
      <c r="R182" s="40">
        <f t="shared" si="190"/>
        <v>0</v>
      </c>
      <c r="S182" s="44">
        <f t="shared" si="191"/>
        <v>1088.903845761733</v>
      </c>
      <c r="T182" s="35">
        <f t="shared" si="192"/>
        <v>3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393.75474857996596</v>
      </c>
      <c r="V182" s="57">
        <v>0</v>
      </c>
      <c r="W182" s="57">
        <v>0</v>
      </c>
      <c r="X182" s="61">
        <f t="shared" si="183"/>
        <v>3</v>
      </c>
      <c r="Y182" s="40">
        <f t="shared" si="193"/>
        <v>0</v>
      </c>
      <c r="Z182" s="40">
        <f t="shared" si="194"/>
        <v>0</v>
      </c>
      <c r="AA182" s="44">
        <f t="shared" si="195"/>
        <v>1181.2642457398979</v>
      </c>
      <c r="AB182" s="35">
        <f t="shared" si="196"/>
        <v>3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426.75373013636556</v>
      </c>
      <c r="AD182" s="57">
        <v>0</v>
      </c>
      <c r="AE182" s="57">
        <v>0</v>
      </c>
      <c r="AF182" s="61">
        <f t="shared" si="184"/>
        <v>3</v>
      </c>
      <c r="AG182" s="40">
        <f t="shared" si="197"/>
        <v>0</v>
      </c>
      <c r="AH182" s="40">
        <f t="shared" si="198"/>
        <v>0</v>
      </c>
      <c r="AI182" s="44">
        <f t="shared" si="199"/>
        <v>1280.2611904090968</v>
      </c>
      <c r="AJ182" s="35">
        <f t="shared" si="185"/>
        <v>3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461.65303521614334</v>
      </c>
      <c r="AL182" s="57">
        <v>0</v>
      </c>
      <c r="AM182" s="57">
        <v>0</v>
      </c>
      <c r="AN182" s="61">
        <f t="shared" si="186"/>
        <v>3</v>
      </c>
      <c r="AO182" s="40">
        <f t="shared" si="200"/>
        <v>0</v>
      </c>
      <c r="AP182" s="40">
        <f t="shared" si="201"/>
        <v>0</v>
      </c>
      <c r="AQ182" s="44">
        <f t="shared" si="202"/>
        <v>1384.9591056484301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5</v>
      </c>
      <c r="G183" s="35">
        <f>SUMIFS(WORKING!$AC$3:$AC$6802,WORKING!$A$3:$A$6802,Results!$D$3,WORKING!$B$3:$B$6802,Results!A183,WORKING!$C$3:$C$6802,Results!C183)/1000</f>
        <v>1780.7091599999999</v>
      </c>
      <c r="H183" s="35">
        <f t="shared" si="187"/>
        <v>356.14183199999997</v>
      </c>
      <c r="I183" s="187">
        <v>4</v>
      </c>
      <c r="J183" s="212">
        <v>1446</v>
      </c>
      <c r="K183" s="217">
        <f t="shared" si="188"/>
        <v>361.5</v>
      </c>
      <c r="L183" s="34">
        <f t="shared" si="181"/>
        <v>4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393.76497050113551</v>
      </c>
      <c r="N183" s="57">
        <v>0</v>
      </c>
      <c r="O183" s="57">
        <v>0</v>
      </c>
      <c r="P183" s="61">
        <f t="shared" si="182"/>
        <v>4</v>
      </c>
      <c r="Q183" s="40">
        <f t="shared" si="189"/>
        <v>0</v>
      </c>
      <c r="R183" s="40">
        <f t="shared" si="190"/>
        <v>0</v>
      </c>
      <c r="S183" s="44">
        <f t="shared" si="191"/>
        <v>1575.059882004542</v>
      </c>
      <c r="T183" s="35">
        <f t="shared" si="192"/>
        <v>4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427.32275589273996</v>
      </c>
      <c r="V183" s="57">
        <v>0</v>
      </c>
      <c r="W183" s="57">
        <v>0</v>
      </c>
      <c r="X183" s="61">
        <f t="shared" si="183"/>
        <v>4</v>
      </c>
      <c r="Y183" s="40">
        <f t="shared" si="193"/>
        <v>0</v>
      </c>
      <c r="Z183" s="40">
        <f t="shared" si="194"/>
        <v>0</v>
      </c>
      <c r="AA183" s="44">
        <f t="shared" si="195"/>
        <v>1709.2910235709599</v>
      </c>
      <c r="AB183" s="35">
        <f t="shared" si="196"/>
        <v>4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463.30718654535758</v>
      </c>
      <c r="AD183" s="57">
        <v>0</v>
      </c>
      <c r="AE183" s="57">
        <v>0</v>
      </c>
      <c r="AF183" s="61">
        <f t="shared" si="184"/>
        <v>4</v>
      </c>
      <c r="AG183" s="40">
        <f t="shared" si="197"/>
        <v>0</v>
      </c>
      <c r="AH183" s="40">
        <f t="shared" si="198"/>
        <v>0</v>
      </c>
      <c r="AI183" s="44">
        <f t="shared" si="199"/>
        <v>1853.2287461814303</v>
      </c>
      <c r="AJ183" s="35">
        <f t="shared" si="185"/>
        <v>4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501.38237261636726</v>
      </c>
      <c r="AL183" s="57">
        <v>0</v>
      </c>
      <c r="AM183" s="57">
        <v>0</v>
      </c>
      <c r="AN183" s="61">
        <f t="shared" si="186"/>
        <v>4</v>
      </c>
      <c r="AO183" s="40">
        <f t="shared" si="200"/>
        <v>0</v>
      </c>
      <c r="AP183" s="40">
        <f t="shared" si="201"/>
        <v>0</v>
      </c>
      <c r="AQ183" s="44">
        <f t="shared" si="202"/>
        <v>2005.5294904654691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238.61764000000002</v>
      </c>
      <c r="H184" s="35">
        <f t="shared" si="187"/>
        <v>0</v>
      </c>
      <c r="I184" s="187">
        <v>0</v>
      </c>
      <c r="J184" s="212">
        <v>0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4</v>
      </c>
      <c r="G185" s="35">
        <f>SUMIFS(WORKING!$AC$3:$AC$6802,WORKING!$A$3:$A$6802,Results!$D$3,WORKING!$B$3:$B$6802,Results!A185,WORKING!$C$3:$C$6802,Results!C185)/1000</f>
        <v>1952.9928</v>
      </c>
      <c r="H185" s="35">
        <f t="shared" si="187"/>
        <v>488.2482</v>
      </c>
      <c r="I185" s="187">
        <v>3</v>
      </c>
      <c r="J185" s="212">
        <v>1701</v>
      </c>
      <c r="K185" s="217">
        <f t="shared" si="188"/>
        <v>567</v>
      </c>
      <c r="L185" s="34">
        <f t="shared" si="181"/>
        <v>3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617.76019558995165</v>
      </c>
      <c r="N185" s="57">
        <v>0</v>
      </c>
      <c r="O185" s="57">
        <v>0</v>
      </c>
      <c r="P185" s="61">
        <f t="shared" si="182"/>
        <v>3</v>
      </c>
      <c r="Q185" s="40">
        <f t="shared" si="189"/>
        <v>0</v>
      </c>
      <c r="R185" s="40">
        <f t="shared" si="190"/>
        <v>0</v>
      </c>
      <c r="S185" s="44">
        <f t="shared" si="191"/>
        <v>1853.2805867698548</v>
      </c>
      <c r="T185" s="35">
        <f t="shared" si="192"/>
        <v>3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670.46010843319868</v>
      </c>
      <c r="V185" s="57">
        <v>0</v>
      </c>
      <c r="W185" s="57">
        <v>0</v>
      </c>
      <c r="X185" s="61">
        <f t="shared" si="183"/>
        <v>3</v>
      </c>
      <c r="Y185" s="40">
        <f t="shared" si="193"/>
        <v>0</v>
      </c>
      <c r="Z185" s="40">
        <f t="shared" si="194"/>
        <v>0</v>
      </c>
      <c r="AA185" s="44">
        <f t="shared" si="195"/>
        <v>2011.3803252995961</v>
      </c>
      <c r="AB185" s="35">
        <f t="shared" si="196"/>
        <v>3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726.97569583866732</v>
      </c>
      <c r="AD185" s="57">
        <v>0</v>
      </c>
      <c r="AE185" s="57">
        <v>0</v>
      </c>
      <c r="AF185" s="61">
        <f t="shared" si="184"/>
        <v>3</v>
      </c>
      <c r="AG185" s="40">
        <f t="shared" si="197"/>
        <v>0</v>
      </c>
      <c r="AH185" s="40">
        <f t="shared" si="198"/>
        <v>0</v>
      </c>
      <c r="AI185" s="44">
        <f t="shared" si="199"/>
        <v>2180.9270875160018</v>
      </c>
      <c r="AJ185" s="35">
        <f t="shared" si="185"/>
        <v>3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786.78044137806216</v>
      </c>
      <c r="AL185" s="57">
        <v>0</v>
      </c>
      <c r="AM185" s="57">
        <v>0</v>
      </c>
      <c r="AN185" s="61">
        <f t="shared" si="186"/>
        <v>3</v>
      </c>
      <c r="AO185" s="40">
        <f t="shared" si="200"/>
        <v>0</v>
      </c>
      <c r="AP185" s="40">
        <f t="shared" si="201"/>
        <v>0</v>
      </c>
      <c r="AQ185" s="44">
        <f t="shared" si="202"/>
        <v>2360.3413241341864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8</v>
      </c>
      <c r="G186" s="35">
        <f>SUMIFS(WORKING!$AC$3:$AC$6802,WORKING!$A$3:$A$6802,Results!$D$3,WORKING!$B$3:$B$6802,Results!A186,WORKING!$C$3:$C$6802,Results!C186)/1000</f>
        <v>5687.3489500000005</v>
      </c>
      <c r="H186" s="35">
        <f t="shared" si="187"/>
        <v>710.91861875000006</v>
      </c>
      <c r="I186" s="187">
        <v>4</v>
      </c>
      <c r="J186" s="212">
        <v>2881</v>
      </c>
      <c r="K186" s="217">
        <f t="shared" si="188"/>
        <v>720.25</v>
      </c>
      <c r="L186" s="34">
        <f t="shared" si="181"/>
        <v>4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786.29084580803931</v>
      </c>
      <c r="N186" s="57">
        <v>0</v>
      </c>
      <c r="O186" s="57">
        <v>3</v>
      </c>
      <c r="P186" s="61">
        <f t="shared" si="182"/>
        <v>1</v>
      </c>
      <c r="Q186" s="40">
        <f t="shared" si="189"/>
        <v>0</v>
      </c>
      <c r="R186" s="40">
        <f t="shared" si="190"/>
        <v>-2358.872537424118</v>
      </c>
      <c r="S186" s="44">
        <f t="shared" si="191"/>
        <v>786.29084580803931</v>
      </c>
      <c r="T186" s="35">
        <f t="shared" si="192"/>
        <v>1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853.6005347116261</v>
      </c>
      <c r="V186" s="57">
        <v>0</v>
      </c>
      <c r="W186" s="57">
        <v>0</v>
      </c>
      <c r="X186" s="61">
        <f t="shared" si="183"/>
        <v>1</v>
      </c>
      <c r="Y186" s="40">
        <f t="shared" si="193"/>
        <v>0</v>
      </c>
      <c r="Z186" s="40">
        <f t="shared" si="194"/>
        <v>0</v>
      </c>
      <c r="AA186" s="44">
        <f t="shared" si="195"/>
        <v>853.6005347116261</v>
      </c>
      <c r="AB186" s="35">
        <f t="shared" si="196"/>
        <v>1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925.80615748561638</v>
      </c>
      <c r="AD186" s="57">
        <v>0</v>
      </c>
      <c r="AE186" s="57">
        <v>0</v>
      </c>
      <c r="AF186" s="61">
        <f t="shared" si="184"/>
        <v>1</v>
      </c>
      <c r="AG186" s="40">
        <f t="shared" si="197"/>
        <v>0</v>
      </c>
      <c r="AH186" s="40">
        <f t="shared" si="198"/>
        <v>0</v>
      </c>
      <c r="AI186" s="44">
        <f t="shared" si="199"/>
        <v>925.80615748561638</v>
      </c>
      <c r="AJ186" s="35">
        <f t="shared" si="185"/>
        <v>1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1002.241001314136</v>
      </c>
      <c r="AL186" s="57">
        <v>0</v>
      </c>
      <c r="AM186" s="57">
        <v>0</v>
      </c>
      <c r="AN186" s="61">
        <f t="shared" si="186"/>
        <v>1</v>
      </c>
      <c r="AO186" s="40">
        <f t="shared" si="200"/>
        <v>0</v>
      </c>
      <c r="AP186" s="40">
        <f t="shared" si="201"/>
        <v>0</v>
      </c>
      <c r="AQ186" s="44">
        <f t="shared" si="202"/>
        <v>1002.241001314136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16</v>
      </c>
      <c r="G187" s="35">
        <f>SUMIFS(WORKING!$AC$3:$AC$6802,WORKING!$A$3:$A$6802,Results!$D$3,WORKING!$B$3:$B$6802,Results!A187,WORKING!$C$3:$C$6802,Results!C187)/1000</f>
        <v>12071.463169999999</v>
      </c>
      <c r="H187" s="35">
        <f t="shared" si="187"/>
        <v>754.46644812499994</v>
      </c>
      <c r="I187" s="187">
        <v>16</v>
      </c>
      <c r="J187" s="212">
        <v>12846</v>
      </c>
      <c r="K187" s="217">
        <f t="shared" si="188"/>
        <v>802.875</v>
      </c>
      <c r="L187" s="34">
        <f t="shared" si="181"/>
        <v>16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876.53843035334023</v>
      </c>
      <c r="N187" s="57">
        <v>0</v>
      </c>
      <c r="O187" s="57">
        <v>0</v>
      </c>
      <c r="P187" s="61">
        <f t="shared" si="182"/>
        <v>16</v>
      </c>
      <c r="Q187" s="40">
        <f t="shared" si="189"/>
        <v>0</v>
      </c>
      <c r="R187" s="40">
        <f t="shared" si="190"/>
        <v>0</v>
      </c>
      <c r="S187" s="44">
        <f t="shared" si="191"/>
        <v>14024.614885653444</v>
      </c>
      <c r="T187" s="35">
        <f t="shared" si="192"/>
        <v>16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951.62423756902706</v>
      </c>
      <c r="V187" s="57">
        <v>0</v>
      </c>
      <c r="W187" s="57">
        <v>0</v>
      </c>
      <c r="X187" s="61">
        <f t="shared" si="183"/>
        <v>16</v>
      </c>
      <c r="Y187" s="40">
        <f t="shared" si="193"/>
        <v>0</v>
      </c>
      <c r="Z187" s="40">
        <f t="shared" si="194"/>
        <v>0</v>
      </c>
      <c r="AA187" s="44">
        <f t="shared" si="195"/>
        <v>15225.987801104433</v>
      </c>
      <c r="AB187" s="35">
        <f t="shared" si="196"/>
        <v>16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1032.1764723931949</v>
      </c>
      <c r="AD187" s="57">
        <v>0</v>
      </c>
      <c r="AE187" s="57">
        <v>0</v>
      </c>
      <c r="AF187" s="61">
        <f t="shared" si="184"/>
        <v>16</v>
      </c>
      <c r="AG187" s="40">
        <f t="shared" si="197"/>
        <v>0</v>
      </c>
      <c r="AH187" s="40">
        <f t="shared" si="198"/>
        <v>0</v>
      </c>
      <c r="AI187" s="44">
        <f t="shared" si="199"/>
        <v>16514.823558291118</v>
      </c>
      <c r="AJ187" s="35">
        <f t="shared" si="185"/>
        <v>16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1117.4526513643682</v>
      </c>
      <c r="AL187" s="57">
        <v>0</v>
      </c>
      <c r="AM187" s="57">
        <v>0</v>
      </c>
      <c r="AN187" s="61">
        <f t="shared" si="186"/>
        <v>16</v>
      </c>
      <c r="AO187" s="40">
        <f t="shared" si="200"/>
        <v>0</v>
      </c>
      <c r="AP187" s="40">
        <f t="shared" si="201"/>
        <v>0</v>
      </c>
      <c r="AQ187" s="44">
        <f t="shared" si="202"/>
        <v>17879.242421829891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15</v>
      </c>
      <c r="G188" s="35">
        <f>SUMIFS(WORKING!$AC$3:$AC$6802,WORKING!$A$3:$A$6802,Results!$D$3,WORKING!$B$3:$B$6802,Results!A188,WORKING!$C$3:$C$6802,Results!C188)/1000</f>
        <v>12383.85795</v>
      </c>
      <c r="H188" s="35">
        <f t="shared" si="187"/>
        <v>825.59052999999994</v>
      </c>
      <c r="I188" s="187">
        <v>11</v>
      </c>
      <c r="J188" s="212">
        <v>10729</v>
      </c>
      <c r="K188" s="217">
        <f t="shared" si="188"/>
        <v>975.36363636363637</v>
      </c>
      <c r="L188" s="34">
        <f t="shared" si="181"/>
        <v>11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1022.3153125117766</v>
      </c>
      <c r="N188" s="57">
        <v>0</v>
      </c>
      <c r="O188" s="57">
        <v>1</v>
      </c>
      <c r="P188" s="61">
        <f t="shared" si="182"/>
        <v>10</v>
      </c>
      <c r="Q188" s="40">
        <f t="shared" si="189"/>
        <v>0</v>
      </c>
      <c r="R188" s="40">
        <f t="shared" si="190"/>
        <v>-1022.3153125117766</v>
      </c>
      <c r="S188" s="44">
        <f t="shared" si="191"/>
        <v>10223.153125117766</v>
      </c>
      <c r="T188" s="35">
        <f t="shared" si="192"/>
        <v>10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1099.5341316900167</v>
      </c>
      <c r="V188" s="57">
        <v>0</v>
      </c>
      <c r="W188" s="57">
        <v>1</v>
      </c>
      <c r="X188" s="61">
        <f t="shared" si="183"/>
        <v>9</v>
      </c>
      <c r="Y188" s="40">
        <f t="shared" si="193"/>
        <v>0</v>
      </c>
      <c r="Z188" s="40">
        <f t="shared" si="194"/>
        <v>-1099.5341316900167</v>
      </c>
      <c r="AA188" s="44">
        <f t="shared" si="195"/>
        <v>9895.8071852101493</v>
      </c>
      <c r="AB188" s="35">
        <f t="shared" si="196"/>
        <v>9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1181.4698940990252</v>
      </c>
      <c r="AD188" s="57">
        <v>0</v>
      </c>
      <c r="AE188" s="57">
        <v>1</v>
      </c>
      <c r="AF188" s="61">
        <f t="shared" si="184"/>
        <v>8</v>
      </c>
      <c r="AG188" s="40">
        <f t="shared" si="197"/>
        <v>0</v>
      </c>
      <c r="AH188" s="40">
        <f t="shared" si="198"/>
        <v>-1181.4698940990252</v>
      </c>
      <c r="AI188" s="44">
        <f t="shared" si="199"/>
        <v>9451.7591527922013</v>
      </c>
      <c r="AJ188" s="35">
        <f t="shared" si="185"/>
        <v>8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1267.113829797484</v>
      </c>
      <c r="AL188" s="57">
        <v>0</v>
      </c>
      <c r="AM188" s="57">
        <v>1</v>
      </c>
      <c r="AN188" s="61">
        <f t="shared" si="186"/>
        <v>7</v>
      </c>
      <c r="AO188" s="40">
        <f t="shared" si="200"/>
        <v>0</v>
      </c>
      <c r="AP188" s="40">
        <f t="shared" si="201"/>
        <v>-1267.113829797484</v>
      </c>
      <c r="AQ188" s="44">
        <f t="shared" si="202"/>
        <v>8869.7968085823886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4</v>
      </c>
      <c r="G189" s="35">
        <f>SUMIFS(WORKING!$AC$3:$AC$6802,WORKING!$A$3:$A$6802,Results!$D$3,WORKING!$B$3:$B$6802,Results!A189,WORKING!$C$3:$C$6802,Results!C189)/1000</f>
        <v>4521.1073999999999</v>
      </c>
      <c r="H189" s="35">
        <f t="shared" si="187"/>
        <v>1130.27685</v>
      </c>
      <c r="I189" s="187">
        <v>4</v>
      </c>
      <c r="J189" s="212">
        <v>5215</v>
      </c>
      <c r="K189" s="217">
        <f t="shared" si="188"/>
        <v>1303.75</v>
      </c>
      <c r="L189" s="34">
        <f t="shared" si="181"/>
        <v>4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1366.3117984450487</v>
      </c>
      <c r="N189" s="57">
        <v>0</v>
      </c>
      <c r="O189" s="57">
        <v>0</v>
      </c>
      <c r="P189" s="61">
        <f t="shared" si="182"/>
        <v>4</v>
      </c>
      <c r="Q189" s="40">
        <f t="shared" si="189"/>
        <v>0</v>
      </c>
      <c r="R189" s="40">
        <f t="shared" si="190"/>
        <v>0</v>
      </c>
      <c r="S189" s="44">
        <f t="shared" si="191"/>
        <v>5465.2471937801947</v>
      </c>
      <c r="T189" s="35">
        <f t="shared" si="192"/>
        <v>4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1469.3012886569493</v>
      </c>
      <c r="V189" s="57">
        <v>0</v>
      </c>
      <c r="W189" s="57">
        <v>0</v>
      </c>
      <c r="X189" s="61">
        <f t="shared" si="183"/>
        <v>4</v>
      </c>
      <c r="Y189" s="40">
        <f t="shared" si="193"/>
        <v>0</v>
      </c>
      <c r="Z189" s="40">
        <f t="shared" si="194"/>
        <v>0</v>
      </c>
      <c r="AA189" s="44">
        <f t="shared" si="195"/>
        <v>5877.2051546277971</v>
      </c>
      <c r="AB189" s="35">
        <f t="shared" si="196"/>
        <v>4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1578.5632766053629</v>
      </c>
      <c r="AD189" s="57">
        <v>0</v>
      </c>
      <c r="AE189" s="57">
        <v>0</v>
      </c>
      <c r="AF189" s="61">
        <f t="shared" si="184"/>
        <v>4</v>
      </c>
      <c r="AG189" s="40">
        <f t="shared" si="197"/>
        <v>0</v>
      </c>
      <c r="AH189" s="40">
        <f t="shared" si="198"/>
        <v>0</v>
      </c>
      <c r="AI189" s="44">
        <f t="shared" si="199"/>
        <v>6314.2531064214518</v>
      </c>
      <c r="AJ189" s="35">
        <f t="shared" si="185"/>
        <v>4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1692.7474108363097</v>
      </c>
      <c r="AL189" s="57">
        <v>0</v>
      </c>
      <c r="AM189" s="57">
        <v>0</v>
      </c>
      <c r="AN189" s="61">
        <f t="shared" si="186"/>
        <v>4</v>
      </c>
      <c r="AO189" s="40">
        <f t="shared" si="200"/>
        <v>0</v>
      </c>
      <c r="AP189" s="40">
        <f t="shared" si="201"/>
        <v>0</v>
      </c>
      <c r="AQ189" s="44">
        <f t="shared" si="202"/>
        <v>6770.9896433452386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1</v>
      </c>
      <c r="G190" s="35">
        <f>SUMIFS(WORKING!$AC$3:$AC$6802,WORKING!$A$3:$A$6802,Results!$D$3,WORKING!$B$3:$B$6802,Results!A190,WORKING!$C$3:$C$6802,Results!C190)/1000</f>
        <v>1267.8757999999998</v>
      </c>
      <c r="H190" s="35">
        <f t="shared" si="187"/>
        <v>1267.8757999999998</v>
      </c>
      <c r="I190" s="187">
        <v>0</v>
      </c>
      <c r="J190" s="212">
        <v>0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1329.0842319907997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1429.6635426059563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1536.4034518323101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1647.9944058106212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>
        <v>0</v>
      </c>
      <c r="J191" s="212">
        <v>0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>
        <v>0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>
        <v>0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62</v>
      </c>
      <c r="G196" s="41">
        <f>SUM(G176:G195)</f>
        <v>42062.665549999998</v>
      </c>
      <c r="H196" s="41">
        <f>IFERROR(G196/F196,0)</f>
        <v>678.43008951612899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50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37107</v>
      </c>
      <c r="K196" s="41">
        <f>IFERROR(J196/I196,"")</f>
        <v>742.14</v>
      </c>
      <c r="L196" s="41">
        <f>SUM(L176:L195)</f>
        <v>50</v>
      </c>
      <c r="M196" s="41">
        <f>IFERROR(S196/P196,0)</f>
        <v>791.66785325328067</v>
      </c>
      <c r="N196" s="41">
        <f t="shared" ref="N196:T196" si="203">SUM(N176:N195)</f>
        <v>0</v>
      </c>
      <c r="O196" s="41">
        <f t="shared" si="203"/>
        <v>4</v>
      </c>
      <c r="P196" s="41">
        <f t="shared" si="203"/>
        <v>46</v>
      </c>
      <c r="Q196" s="41">
        <f t="shared" si="203"/>
        <v>0</v>
      </c>
      <c r="R196" s="41">
        <f t="shared" si="203"/>
        <v>-3381.1878499358945</v>
      </c>
      <c r="S196" s="45">
        <f t="shared" si="203"/>
        <v>36416.721249650909</v>
      </c>
      <c r="T196" s="41">
        <f t="shared" si="203"/>
        <v>46</v>
      </c>
      <c r="U196" s="41">
        <f>IFERROR(AA196/X196,0)</f>
        <v>850.51531567650784</v>
      </c>
      <c r="V196" s="41">
        <f t="shared" ref="V196:AB196" si="204">SUM(V176:V195)</f>
        <v>0</v>
      </c>
      <c r="W196" s="41">
        <f t="shared" si="204"/>
        <v>1</v>
      </c>
      <c r="X196" s="41">
        <f t="shared" si="204"/>
        <v>45</v>
      </c>
      <c r="Y196" s="41">
        <f t="shared" si="204"/>
        <v>0</v>
      </c>
      <c r="Z196" s="41">
        <f t="shared" si="204"/>
        <v>-1099.5341316900167</v>
      </c>
      <c r="AA196" s="45">
        <f t="shared" si="204"/>
        <v>38273.189205442854</v>
      </c>
      <c r="AB196" s="41">
        <f t="shared" si="204"/>
        <v>45</v>
      </c>
      <c r="AC196" s="41">
        <f>IFERROR(AI196/AF196,0)</f>
        <v>912.87909642876468</v>
      </c>
      <c r="AD196" s="41">
        <f t="shared" ref="AD196:AJ196" si="205">SUM(AD176:AD195)</f>
        <v>0</v>
      </c>
      <c r="AE196" s="41">
        <f t="shared" si="205"/>
        <v>1</v>
      </c>
      <c r="AF196" s="41">
        <f t="shared" si="205"/>
        <v>44</v>
      </c>
      <c r="AG196" s="41">
        <f t="shared" si="205"/>
        <v>0</v>
      </c>
      <c r="AH196" s="41">
        <f t="shared" si="205"/>
        <v>-1181.4698940990252</v>
      </c>
      <c r="AI196" s="45">
        <f t="shared" si="205"/>
        <v>40166.680242865645</v>
      </c>
      <c r="AJ196" s="41">
        <f t="shared" si="205"/>
        <v>44</v>
      </c>
      <c r="AK196" s="41">
        <f>IFERROR(AQ196/AN196,0)</f>
        <v>977.97599718228912</v>
      </c>
      <c r="AL196" s="41">
        <f t="shared" ref="AL196:AQ196" si="206">SUM(AL176:AL195)</f>
        <v>0</v>
      </c>
      <c r="AM196" s="41">
        <f t="shared" si="206"/>
        <v>1</v>
      </c>
      <c r="AN196" s="41">
        <f t="shared" si="206"/>
        <v>43</v>
      </c>
      <c r="AO196" s="41">
        <f t="shared" si="206"/>
        <v>0</v>
      </c>
      <c r="AP196" s="41">
        <f t="shared" si="206"/>
        <v>-1267.113829797484</v>
      </c>
      <c r="AQ196" s="45">
        <f t="shared" si="206"/>
        <v>42052.967878838434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37838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39050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40566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43649.016000000003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1421.2787503490908</v>
      </c>
      <c r="T198" s="39"/>
      <c r="U198" s="39"/>
      <c r="V198" s="53"/>
      <c r="W198" s="53"/>
      <c r="X198" s="110"/>
      <c r="Y198" s="39"/>
      <c r="Z198" s="39"/>
      <c r="AA198" s="54">
        <f>AA197-AA196</f>
        <v>776.81079455714644</v>
      </c>
      <c r="AB198" s="39"/>
      <c r="AC198" s="53"/>
      <c r="AD198" s="53"/>
      <c r="AE198" s="110"/>
      <c r="AF198" s="39"/>
      <c r="AG198" s="39"/>
      <c r="AH198" s="39"/>
      <c r="AI198" s="54">
        <f>AI197-AI196</f>
        <v>399.31975713435531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1596.0481211615697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tGwB//qm4lskBTtRN6gwqkRSqTsMTXw9B4/sDvy+2pnrEFgIu9YD9yqdc5dd1waJEPSOzQirKo9xy8FJfXPCTw==" saltValue="biiecPD9H/rypsSj2NQbY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Science And Technology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30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42671.509603587961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NAT_HRBP__42671.509603588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HRBP-Vote30.xlsx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microsoft.com/office/2006/documentManagement/types"/>
    <ds:schemaRef ds:uri="http://schemas.microsoft.com/office/2006/metadata/properties"/>
    <ds:schemaRef ds:uri="df7ca258-5e24-45de-bd31-dbc76bc6765a"/>
    <ds:schemaRef ds:uri="http://purl.org/dc/elements/1.1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2016-10-28T10:14:36Z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